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штат 01.01.2022г" sheetId="1" r:id="rId1"/>
  </sheets>
  <definedNames>
    <definedName name="_xlnm.Print_Area" localSheetId="0">'штат 01.01.2022г'!$A$1:$O$104</definedName>
  </definedNames>
  <calcPr fullCalcOnLoad="1"/>
</workbook>
</file>

<file path=xl/sharedStrings.xml><?xml version="1.0" encoding="utf-8"?>
<sst xmlns="http://schemas.openxmlformats.org/spreadsheetml/2006/main" count="145" uniqueCount="79">
  <si>
    <t>Ўзбекистон Республикаси "Ўзархив" агентлиги</t>
  </si>
  <si>
    <t xml:space="preserve"> Узбекистон Республикаси Молия</t>
  </si>
  <si>
    <t>Вазирлигининг 1999 йил 9-декабрдаги</t>
  </si>
  <si>
    <t>93-сон йурикномаси 2-илова</t>
  </si>
  <si>
    <t>Ўзбекистон Республикаси Молия Вазирлигида</t>
  </si>
  <si>
    <t>__________-сон рўйхатдан ўтказиш карточкаси</t>
  </si>
  <si>
    <t>Директор</t>
  </si>
  <si>
    <t>_____________________У. Юсупов</t>
  </si>
  <si>
    <t>Мухр</t>
  </si>
  <si>
    <t>(имзо)</t>
  </si>
  <si>
    <t>Штатлар жадвали</t>
  </si>
  <si>
    <t>2019 йил учун</t>
  </si>
  <si>
    <t>(бюджет ташкилотининг тўлиқ номи)</t>
  </si>
  <si>
    <t>(тизимга кирувчи юқори ташкилотнинг тўлиқ номи)</t>
  </si>
  <si>
    <t>Тузилмавий бўлимлар номи ва лавозимлар номи</t>
  </si>
  <si>
    <t>Штатлар сони</t>
  </si>
  <si>
    <t>ЯТС буйича разряди</t>
  </si>
  <si>
    <t>Тариф буйича коэффиценти</t>
  </si>
  <si>
    <t>Лавозим бўйича маоши (сўмда)</t>
  </si>
  <si>
    <t>Қўшимча ҳақ турлари(сўмда)</t>
  </si>
  <si>
    <t>Бир ойлик иш ҳақи жамғармаси (сўм)</t>
  </si>
  <si>
    <t>Эслатма</t>
  </si>
  <si>
    <t>%</t>
  </si>
  <si>
    <t xml:space="preserve">%  </t>
  </si>
  <si>
    <t xml:space="preserve">Ўз.Рес.ПҚ 19.01.2019 йилдаги № 2733 қарори </t>
  </si>
  <si>
    <t xml:space="preserve">Ўз.Рес.ПҚ 20.09.2019 йилдаги № 4463 қарори </t>
  </si>
  <si>
    <t>(УП-4377)</t>
  </si>
  <si>
    <t>Юридик хизматлари ходимларига мартаба даражалари</t>
  </si>
  <si>
    <t xml:space="preserve">Кўп йиллик мехнат фаолияти учун </t>
  </si>
  <si>
    <t>РАҲБАРИЯТ</t>
  </si>
  <si>
    <t xml:space="preserve">Директор                </t>
  </si>
  <si>
    <t>Директор ўринбосари</t>
  </si>
  <si>
    <t xml:space="preserve">                                                                                                                ЖАМИ:                    117579</t>
  </si>
  <si>
    <t>АРХИВ ИШИ БЎЙИЧА ТАШКИЛИЙ-МЕТОДИК ИШЛАР БЎЛИМИ</t>
  </si>
  <si>
    <t>Етакчи бўлим бошлиғи</t>
  </si>
  <si>
    <t>Бош мутахассис</t>
  </si>
  <si>
    <t xml:space="preserve">     </t>
  </si>
  <si>
    <t>ЖИСМОНИЙ ВА ЮРИДИК ШАХСЛАР МУРОЖААТЛАРИ БИЛАН ИШЛАШ БЎЛИМИ</t>
  </si>
  <si>
    <t>ҲАЛҚАРО МУНОСАБАТЛАР БЎЛИМИ</t>
  </si>
  <si>
    <t>АХБОРОТ ТЕХНОЛОГИЯЛАРИ БЎЛИМИ</t>
  </si>
  <si>
    <t>ЭЛЕКТРОН АРХИВЛАР ВА ХУЖЖАТЛАРНИ ЮРИТИШ БЎЛИМИ</t>
  </si>
  <si>
    <t>АРХИВ ИШИ ВА ИШ ЮРИТИШ ҲОЛАТИ УСТИДАН ДАВЛАТ НАЗОРАТИ БЎЛИМИ</t>
  </si>
  <si>
    <t>БУХГАЛТЕРИЯ</t>
  </si>
  <si>
    <t>Бош бухгалтер (бўлим бошлиғи)</t>
  </si>
  <si>
    <t>БИРИНЧИ БЎЛИМ</t>
  </si>
  <si>
    <t>КИЧИК ХЎЖАЛИК БЎЛИМИ</t>
  </si>
  <si>
    <t>Секретарь - делопроизводитель II категории</t>
  </si>
  <si>
    <t>Секретарь руководителя</t>
  </si>
  <si>
    <t>Жами</t>
  </si>
  <si>
    <t>МБХ, хўжалик, ўқув-ёрдам ва бошқа ходимлар жами иш ҳақи</t>
  </si>
  <si>
    <t>Х</t>
  </si>
  <si>
    <t>Шунинг ўзи бир йилда</t>
  </si>
  <si>
    <t>Икки оклад миқдорида мукофот</t>
  </si>
  <si>
    <t>Бир оклад миқдорида моддий ёрдам</t>
  </si>
  <si>
    <t>Моддий рағбатлантириш жамғармаси</t>
  </si>
  <si>
    <t>Вақтинчалик меҳнатга лаёқатсизлик нафақаси</t>
  </si>
  <si>
    <t>Жами иш ҳақи жамғармаси</t>
  </si>
  <si>
    <t>Бош бухгалтер</t>
  </si>
  <si>
    <t xml:space="preserve">Матбуот котиби - директорнинг ахборот сиёсати масалалари бўйича маслаҳатчиси </t>
  </si>
  <si>
    <t xml:space="preserve">Директорнинг маънавий-маърифий ишлар  самарадорлигини  ошириш, давлат тили тўғрисидаги қонун ҳужжатларига риоя  этилишини таъминлаш масалалари бўйича маслаҳатчиси </t>
  </si>
  <si>
    <t>штатлар  жадвалини тасдиқлаган мансабдор шахс</t>
  </si>
  <si>
    <t xml:space="preserve">микдорида бир ойлик иш ҳақини тўлаш жамғармаси билан </t>
  </si>
  <si>
    <t>АХБОРОТ ХИЗМАТИ</t>
  </si>
  <si>
    <t xml:space="preserve">МАЪНАВИЙ - МАЪРИФИЙ ИШЛАР </t>
  </si>
  <si>
    <t xml:space="preserve">Таьлим, фан ва маданият тармокларида бюджет сиесати департаменти </t>
  </si>
  <si>
    <t>директори _____________________А.Б.Эшчанов</t>
  </si>
  <si>
    <t>Вазир ўринбосари _________________Ж.И.Абруев</t>
  </si>
  <si>
    <t xml:space="preserve">Автомобил ҳайдовчиси директор учун  (коэффициент 1,228) </t>
  </si>
  <si>
    <t>Автомобил ҳайдовчиси директор ўринбосари учун  (коэффиценти 1,228)</t>
  </si>
  <si>
    <t>Автомобил ҳайдовчиси матбуот хизмати учун (коэффиценти 1,228)</t>
  </si>
  <si>
    <t xml:space="preserve">2022 йил  1 январдан </t>
  </si>
  <si>
    <t>(Бир юз олтмиш тўққиз миллион бир юз сақсон саккиз минг уч юз ўттиз олти сўм)</t>
  </si>
  <si>
    <r>
      <t>28 киши миқдорида штатни</t>
    </r>
    <r>
      <rPr>
        <b/>
        <sz val="13"/>
        <rFont val="Times New Roman"/>
        <family val="1"/>
      </rPr>
      <t xml:space="preserve"> 169 188 336 </t>
    </r>
    <r>
      <rPr>
        <sz val="13"/>
        <rFont val="Times New Roman"/>
        <family val="1"/>
      </rPr>
      <t>сўм</t>
    </r>
  </si>
  <si>
    <t>2022  йил учун рўйхатдан ўтказилган</t>
  </si>
  <si>
    <t xml:space="preserve">                             " ТАСДИҚЛАЙМАН "</t>
  </si>
  <si>
    <t>Ф.Суюнов</t>
  </si>
  <si>
    <t>ПҚ-4366 27.06.2019й. Ахборот хизматлари (50%)</t>
  </si>
  <si>
    <t>БОШ ЮРИСКОНСУЛЬТ</t>
  </si>
  <si>
    <t>Бош юрисконсульт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</si>
</sst>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_-* #,##0.0_р_._-;\-* #,##0.0_р_._-;_-* &quot;-&quot;??_р_._-;_-@_-"/>
    <numFmt numFmtId="174" formatCode="0.000"/>
    <numFmt numFmtId="175" formatCode="_-* #,##0.00_р_._-;\-* #,##0.00_р_._-;_-* &quot; &quot;??_р_._-;_-@_-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-* #,##0.0\ _₽_-;\-* #,##0.0\ _₽_-;_-* &quot;-&quot;?\ _₽_-;_-@_-"/>
    <numFmt numFmtId="182" formatCode="0.0%"/>
    <numFmt numFmtId="183" formatCode="#,##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0"/>
      <name val="Helv"/>
      <family val="0"/>
    </font>
    <font>
      <sz val="13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1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11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6" fillId="33" borderId="0" xfId="61" applyFont="1" applyFill="1" applyAlignment="1">
      <alignment horizontal="center" vertical="center"/>
      <protection/>
    </xf>
    <xf numFmtId="0" fontId="6" fillId="33" borderId="0" xfId="61" applyFont="1" applyFill="1">
      <alignment/>
      <protection/>
    </xf>
    <xf numFmtId="172" fontId="6" fillId="33" borderId="0" xfId="72" applyNumberFormat="1" applyFont="1" applyFill="1" applyAlignment="1">
      <alignment/>
    </xf>
    <xf numFmtId="0" fontId="6" fillId="33" borderId="0" xfId="61" applyFont="1" applyFill="1" applyAlignment="1">
      <alignment/>
      <protection/>
    </xf>
    <xf numFmtId="0" fontId="6" fillId="33" borderId="0" xfId="61" applyFont="1" applyFill="1" applyAlignment="1">
      <alignment horizontal="left" vertical="center" wrapText="1"/>
      <protection/>
    </xf>
    <xf numFmtId="0" fontId="2" fillId="33" borderId="0" xfId="61" applyFont="1" applyFill="1" applyBorder="1" applyAlignment="1">
      <alignment/>
      <protection/>
    </xf>
    <xf numFmtId="0" fontId="6" fillId="33" borderId="0" xfId="61" applyFont="1" applyFill="1" applyAlignment="1">
      <alignment vertical="center" wrapText="1"/>
      <protection/>
    </xf>
    <xf numFmtId="0" fontId="6" fillId="33" borderId="0" xfId="52" applyFont="1" applyFill="1" applyBorder="1" applyAlignment="1">
      <alignment horizontal="left" wrapText="1"/>
      <protection/>
    </xf>
    <xf numFmtId="0" fontId="7" fillId="33" borderId="0" xfId="52" applyFont="1" applyFill="1" applyAlignment="1">
      <alignment horizontal="left"/>
      <protection/>
    </xf>
    <xf numFmtId="0" fontId="6" fillId="33" borderId="0" xfId="61" applyFont="1" applyFill="1" applyAlignment="1">
      <alignment horizontal="justify" vertical="center" wrapText="1"/>
      <protection/>
    </xf>
    <xf numFmtId="172" fontId="6" fillId="33" borderId="0" xfId="72" applyNumberFormat="1" applyFont="1" applyFill="1" applyAlignment="1">
      <alignment horizontal="justify" vertical="center" wrapText="1"/>
    </xf>
    <xf numFmtId="0" fontId="7" fillId="33" borderId="0" xfId="61" applyFont="1" applyFill="1" applyAlignment="1">
      <alignment/>
      <protection/>
    </xf>
    <xf numFmtId="0" fontId="6" fillId="33" borderId="0" xfId="52" applyFont="1" applyFill="1" applyAlignment="1">
      <alignment/>
      <protection/>
    </xf>
    <xf numFmtId="0" fontId="7" fillId="33" borderId="0" xfId="61" applyFont="1" applyFill="1">
      <alignment/>
      <protection/>
    </xf>
    <xf numFmtId="0" fontId="7" fillId="33" borderId="0" xfId="61" applyFont="1" applyFill="1" applyAlignment="1">
      <alignment horizontal="left" vertical="center"/>
      <protection/>
    </xf>
    <xf numFmtId="0" fontId="7" fillId="33" borderId="0" xfId="61" applyFont="1" applyFill="1" applyBorder="1" applyAlignment="1">
      <alignment horizontal="left" wrapText="1"/>
      <protection/>
    </xf>
    <xf numFmtId="0" fontId="7" fillId="33" borderId="0" xfId="61" applyFont="1" applyFill="1" applyBorder="1" applyAlignment="1">
      <alignment wrapText="1"/>
      <protection/>
    </xf>
    <xf numFmtId="0" fontId="6" fillId="33" borderId="0" xfId="61" applyFont="1" applyFill="1" applyAlignment="1">
      <alignment horizontal="center"/>
      <protection/>
    </xf>
    <xf numFmtId="0" fontId="2" fillId="33" borderId="0" xfId="61" applyFont="1" applyFill="1" applyAlignment="1">
      <alignment/>
      <protection/>
    </xf>
    <xf numFmtId="0" fontId="2" fillId="33" borderId="0" xfId="61" applyFont="1" applyFill="1">
      <alignment/>
      <protection/>
    </xf>
    <xf numFmtId="0" fontId="10" fillId="33" borderId="10" xfId="61" applyFont="1" applyFill="1" applyBorder="1" applyAlignment="1">
      <alignment/>
      <protection/>
    </xf>
    <xf numFmtId="9" fontId="9" fillId="33" borderId="11" xfId="61" applyNumberFormat="1" applyFont="1" applyFill="1" applyBorder="1" applyAlignment="1">
      <alignment horizontal="center" vertical="center" wrapText="1"/>
      <protection/>
    </xf>
    <xf numFmtId="9" fontId="4" fillId="33" borderId="11" xfId="61" applyNumberFormat="1" applyFont="1" applyFill="1" applyBorder="1" applyAlignment="1">
      <alignment horizontal="center" vertical="center" wrapText="1"/>
      <protection/>
    </xf>
    <xf numFmtId="0" fontId="9" fillId="33" borderId="12" xfId="61" applyFont="1" applyFill="1" applyBorder="1" applyAlignment="1">
      <alignment horizontal="center" vertical="top" wrapText="1"/>
      <protection/>
    </xf>
    <xf numFmtId="0" fontId="3" fillId="33" borderId="12" xfId="61" applyFont="1" applyFill="1" applyBorder="1" applyAlignment="1">
      <alignment horizontal="center" vertical="top" wrapText="1"/>
      <protection/>
    </xf>
    <xf numFmtId="0" fontId="4" fillId="33" borderId="12" xfId="61" applyFont="1" applyFill="1" applyBorder="1" applyAlignment="1">
      <alignment horizontal="center" vertical="top" wrapText="1"/>
      <protection/>
    </xf>
    <xf numFmtId="0" fontId="9" fillId="33" borderId="13" xfId="61" applyFont="1" applyFill="1" applyBorder="1" applyAlignment="1">
      <alignment horizontal="center" vertical="center" wrapText="1"/>
      <protection/>
    </xf>
    <xf numFmtId="0" fontId="9" fillId="33" borderId="12" xfId="61" applyFont="1" applyFill="1" applyBorder="1" applyAlignment="1">
      <alignment wrapText="1"/>
      <protection/>
    </xf>
    <xf numFmtId="0" fontId="9" fillId="33" borderId="12" xfId="61" applyFont="1" applyFill="1" applyBorder="1" applyAlignment="1">
      <alignment horizontal="center"/>
      <protection/>
    </xf>
    <xf numFmtId="0" fontId="9" fillId="33" borderId="12" xfId="61" applyFont="1" applyFill="1" applyBorder="1" applyAlignment="1">
      <alignment horizontal="right"/>
      <protection/>
    </xf>
    <xf numFmtId="172" fontId="9" fillId="33" borderId="12" xfId="72" applyNumberFormat="1" applyFont="1" applyFill="1" applyBorder="1" applyAlignment="1">
      <alignment/>
    </xf>
    <xf numFmtId="9" fontId="9" fillId="33" borderId="12" xfId="61" applyNumberFormat="1" applyFont="1" applyFill="1" applyBorder="1">
      <alignment/>
      <protection/>
    </xf>
    <xf numFmtId="172" fontId="9" fillId="33" borderId="14" xfId="72" applyNumberFormat="1" applyFont="1" applyFill="1" applyBorder="1" applyAlignment="1">
      <alignment/>
    </xf>
    <xf numFmtId="0" fontId="9" fillId="33" borderId="15" xfId="61" applyFont="1" applyFill="1" applyBorder="1" applyAlignment="1">
      <alignment horizontal="center"/>
      <protection/>
    </xf>
    <xf numFmtId="0" fontId="9" fillId="33" borderId="15" xfId="61" applyFont="1" applyFill="1" applyBorder="1" applyAlignment="1">
      <alignment horizontal="right"/>
      <protection/>
    </xf>
    <xf numFmtId="0" fontId="8" fillId="33" borderId="16" xfId="61" applyFont="1" applyFill="1" applyBorder="1" applyAlignment="1">
      <alignment horizontal="center" vertical="center"/>
      <protection/>
    </xf>
    <xf numFmtId="0" fontId="8" fillId="33" borderId="11" xfId="61" applyFont="1" applyFill="1" applyBorder="1">
      <alignment/>
      <protection/>
    </xf>
    <xf numFmtId="0" fontId="8" fillId="33" borderId="11" xfId="61" applyFont="1" applyFill="1" applyBorder="1" applyAlignment="1">
      <alignment horizontal="center"/>
      <protection/>
    </xf>
    <xf numFmtId="172" fontId="8" fillId="33" borderId="11" xfId="72" applyNumberFormat="1" applyFont="1" applyFill="1" applyBorder="1" applyAlignment="1">
      <alignment horizontal="center"/>
    </xf>
    <xf numFmtId="174" fontId="9" fillId="33" borderId="12" xfId="61" applyNumberFormat="1" applyFont="1" applyFill="1" applyBorder="1">
      <alignment/>
      <protection/>
    </xf>
    <xf numFmtId="0" fontId="9" fillId="33" borderId="15" xfId="61" applyFont="1" applyFill="1" applyBorder="1">
      <alignment/>
      <protection/>
    </xf>
    <xf numFmtId="1" fontId="8" fillId="33" borderId="11" xfId="61" applyNumberFormat="1" applyFont="1" applyFill="1" applyBorder="1" applyAlignment="1">
      <alignment horizontal="right"/>
      <protection/>
    </xf>
    <xf numFmtId="172" fontId="8" fillId="33" borderId="11" xfId="72" applyNumberFormat="1" applyFont="1" applyFill="1" applyBorder="1" applyAlignment="1">
      <alignment/>
    </xf>
    <xf numFmtId="0" fontId="9" fillId="33" borderId="13" xfId="61" applyFont="1" applyFill="1" applyBorder="1" applyAlignment="1">
      <alignment horizontal="center" vertical="center"/>
      <protection/>
    </xf>
    <xf numFmtId="0" fontId="9" fillId="33" borderId="17" xfId="61" applyFont="1" applyFill="1" applyBorder="1" applyAlignment="1">
      <alignment horizontal="center" vertical="center"/>
      <protection/>
    </xf>
    <xf numFmtId="0" fontId="9" fillId="33" borderId="12" xfId="61" applyFont="1" applyFill="1" applyBorder="1" applyAlignment="1">
      <alignment vertical="center" wrapText="1"/>
      <protection/>
    </xf>
    <xf numFmtId="0" fontId="8" fillId="33" borderId="15" xfId="61" applyFont="1" applyFill="1" applyBorder="1" applyAlignment="1">
      <alignment horizontal="center" vertical="center"/>
      <protection/>
    </xf>
    <xf numFmtId="0" fontId="8" fillId="33" borderId="15" xfId="61" applyFont="1" applyFill="1" applyBorder="1">
      <alignment/>
      <protection/>
    </xf>
    <xf numFmtId="0" fontId="8" fillId="33" borderId="15" xfId="61" applyFont="1" applyFill="1" applyBorder="1" applyAlignment="1">
      <alignment horizontal="center"/>
      <protection/>
    </xf>
    <xf numFmtId="1" fontId="8" fillId="33" borderId="15" xfId="61" applyNumberFormat="1" applyFont="1" applyFill="1" applyBorder="1" applyAlignment="1">
      <alignment horizontal="right"/>
      <protection/>
    </xf>
    <xf numFmtId="9" fontId="9" fillId="33" borderId="15" xfId="61" applyNumberFormat="1" applyFont="1" applyFill="1" applyBorder="1">
      <alignment/>
      <protection/>
    </xf>
    <xf numFmtId="172" fontId="9" fillId="33" borderId="15" xfId="72" applyNumberFormat="1" applyFont="1" applyFill="1" applyBorder="1" applyAlignment="1">
      <alignment/>
    </xf>
    <xf numFmtId="172" fontId="8" fillId="33" borderId="15" xfId="72" applyNumberFormat="1" applyFont="1" applyFill="1" applyBorder="1" applyAlignment="1">
      <alignment/>
    </xf>
    <xf numFmtId="174" fontId="9" fillId="33" borderId="15" xfId="61" applyNumberFormat="1" applyFont="1" applyFill="1" applyBorder="1">
      <alignment/>
      <protection/>
    </xf>
    <xf numFmtId="1" fontId="9" fillId="33" borderId="12" xfId="61" applyNumberFormat="1" applyFont="1" applyFill="1" applyBorder="1">
      <alignment/>
      <protection/>
    </xf>
    <xf numFmtId="172" fontId="9" fillId="33" borderId="18" xfId="72" applyNumberFormat="1" applyFont="1" applyFill="1" applyBorder="1" applyAlignment="1">
      <alignment/>
    </xf>
    <xf numFmtId="0" fontId="8" fillId="33" borderId="19" xfId="61" applyFont="1" applyFill="1" applyBorder="1" applyAlignment="1">
      <alignment horizontal="center" vertical="center"/>
      <protection/>
    </xf>
    <xf numFmtId="0" fontId="9" fillId="33" borderId="0" xfId="61" applyFont="1" applyFill="1" applyAlignment="1">
      <alignment horizontal="center" vertical="center"/>
      <protection/>
    </xf>
    <xf numFmtId="0" fontId="9" fillId="33" borderId="0" xfId="61" applyFont="1" applyFill="1">
      <alignment/>
      <protection/>
    </xf>
    <xf numFmtId="172" fontId="9" fillId="33" borderId="0" xfId="72" applyNumberFormat="1" applyFont="1" applyFill="1" applyAlignment="1">
      <alignment/>
    </xf>
    <xf numFmtId="3" fontId="9" fillId="33" borderId="0" xfId="61" applyNumberFormat="1" applyFont="1" applyFill="1" applyAlignment="1">
      <alignment horizontal="right" vertical="center" wrapText="1"/>
      <protection/>
    </xf>
    <xf numFmtId="0" fontId="9" fillId="33" borderId="0" xfId="61" applyFont="1" applyFill="1" applyAlignment="1">
      <alignment horizontal="left"/>
      <protection/>
    </xf>
    <xf numFmtId="0" fontId="9" fillId="33" borderId="0" xfId="61" applyFont="1" applyFill="1" applyBorder="1">
      <alignment/>
      <protection/>
    </xf>
    <xf numFmtId="172" fontId="9" fillId="33" borderId="0" xfId="61" applyNumberFormat="1" applyFont="1" applyFill="1" applyBorder="1" applyAlignment="1">
      <alignment horizontal="right"/>
      <protection/>
    </xf>
    <xf numFmtId="0" fontId="8" fillId="33" borderId="0" xfId="61" applyFont="1" applyFill="1">
      <alignment/>
      <protection/>
    </xf>
    <xf numFmtId="0" fontId="8" fillId="33" borderId="20" xfId="61" applyFont="1" applyFill="1" applyBorder="1" applyAlignment="1">
      <alignment horizontal="center" vertical="center"/>
      <protection/>
    </xf>
    <xf numFmtId="0" fontId="8" fillId="33" borderId="21" xfId="61" applyFont="1" applyFill="1" applyBorder="1">
      <alignment/>
      <protection/>
    </xf>
    <xf numFmtId="0" fontId="8" fillId="33" borderId="21" xfId="61" applyFont="1" applyFill="1" applyBorder="1" applyAlignment="1">
      <alignment horizontal="center"/>
      <protection/>
    </xf>
    <xf numFmtId="173" fontId="8" fillId="33" borderId="21" xfId="72" applyNumberFormat="1" applyFont="1" applyFill="1" applyBorder="1" applyAlignment="1">
      <alignment horizontal="center"/>
    </xf>
    <xf numFmtId="172" fontId="8" fillId="33" borderId="21" xfId="72" applyNumberFormat="1" applyFont="1" applyFill="1" applyBorder="1" applyAlignment="1">
      <alignment horizontal="center"/>
    </xf>
    <xf numFmtId="9" fontId="9" fillId="33" borderId="18" xfId="61" applyNumberFormat="1" applyFont="1" applyFill="1" applyBorder="1">
      <alignment/>
      <protection/>
    </xf>
    <xf numFmtId="1" fontId="8" fillId="33" borderId="21" xfId="61" applyNumberFormat="1" applyFont="1" applyFill="1" applyBorder="1" applyAlignment="1">
      <alignment horizontal="right"/>
      <protection/>
    </xf>
    <xf numFmtId="9" fontId="9" fillId="33" borderId="21" xfId="61" applyNumberFormat="1" applyFont="1" applyFill="1" applyBorder="1">
      <alignment/>
      <protection/>
    </xf>
    <xf numFmtId="172" fontId="8" fillId="33" borderId="21" xfId="72" applyNumberFormat="1" applyFont="1" applyFill="1" applyBorder="1" applyAlignment="1">
      <alignment/>
    </xf>
    <xf numFmtId="172" fontId="8" fillId="33" borderId="22" xfId="69" applyNumberFormat="1" applyFont="1" applyFill="1" applyBorder="1" applyAlignment="1">
      <alignment horizontal="center"/>
    </xf>
    <xf numFmtId="172" fontId="8" fillId="33" borderId="15" xfId="69" applyNumberFormat="1" applyFont="1" applyFill="1" applyBorder="1" applyAlignment="1">
      <alignment horizontal="center"/>
    </xf>
    <xf numFmtId="0" fontId="8" fillId="33" borderId="23" xfId="61" applyFont="1" applyFill="1" applyBorder="1">
      <alignment/>
      <protection/>
    </xf>
    <xf numFmtId="172" fontId="8" fillId="33" borderId="24" xfId="69" applyNumberFormat="1" applyFont="1" applyFill="1" applyBorder="1" applyAlignment="1">
      <alignment horizontal="center"/>
    </xf>
    <xf numFmtId="0" fontId="8" fillId="33" borderId="25" xfId="61" applyFont="1" applyFill="1" applyBorder="1" applyAlignment="1">
      <alignment horizontal="center"/>
      <protection/>
    </xf>
    <xf numFmtId="172" fontId="8" fillId="33" borderId="25" xfId="69" applyNumberFormat="1" applyFont="1" applyFill="1" applyBorder="1" applyAlignment="1">
      <alignment horizontal="center"/>
    </xf>
    <xf numFmtId="172" fontId="9" fillId="33" borderId="0" xfId="69" applyNumberFormat="1" applyFont="1" applyFill="1" applyAlignment="1">
      <alignment/>
    </xf>
    <xf numFmtId="0" fontId="8" fillId="33" borderId="11" xfId="61" applyFont="1" applyFill="1" applyBorder="1" applyAlignment="1">
      <alignment horizontal="center" vertical="center"/>
      <protection/>
    </xf>
    <xf numFmtId="9" fontId="9" fillId="33" borderId="11" xfId="61" applyNumberFormat="1" applyFont="1" applyFill="1" applyBorder="1">
      <alignment/>
      <protection/>
    </xf>
    <xf numFmtId="172" fontId="9" fillId="33" borderId="11" xfId="72" applyNumberFormat="1" applyFont="1" applyFill="1" applyBorder="1" applyAlignment="1">
      <alignment/>
    </xf>
    <xf numFmtId="0" fontId="9" fillId="33" borderId="26" xfId="61" applyFont="1" applyFill="1" applyBorder="1" applyAlignment="1">
      <alignment horizontal="center" vertical="center"/>
      <protection/>
    </xf>
    <xf numFmtId="0" fontId="9" fillId="33" borderId="27" xfId="61" applyFont="1" applyFill="1" applyBorder="1" applyAlignment="1">
      <alignment vertical="center" wrapText="1"/>
      <protection/>
    </xf>
    <xf numFmtId="0" fontId="9" fillId="33" borderId="27" xfId="61" applyFont="1" applyFill="1" applyBorder="1" applyAlignment="1">
      <alignment horizontal="center"/>
      <protection/>
    </xf>
    <xf numFmtId="174" fontId="9" fillId="33" borderId="27" xfId="61" applyNumberFormat="1" applyFont="1" applyFill="1" applyBorder="1">
      <alignment/>
      <protection/>
    </xf>
    <xf numFmtId="172" fontId="9" fillId="33" borderId="27" xfId="72" applyNumberFormat="1" applyFont="1" applyFill="1" applyBorder="1" applyAlignment="1">
      <alignment/>
    </xf>
    <xf numFmtId="9" fontId="9" fillId="33" borderId="27" xfId="61" applyNumberFormat="1" applyFont="1" applyFill="1" applyBorder="1">
      <alignment/>
      <protection/>
    </xf>
    <xf numFmtId="172" fontId="9" fillId="33" borderId="28" xfId="72" applyNumberFormat="1" applyFont="1" applyFill="1" applyBorder="1" applyAlignment="1">
      <alignment/>
    </xf>
    <xf numFmtId="9" fontId="9" fillId="33" borderId="29" xfId="61" applyNumberFormat="1" applyFont="1" applyFill="1" applyBorder="1">
      <alignment/>
      <protection/>
    </xf>
    <xf numFmtId="172" fontId="9" fillId="33" borderId="29" xfId="72" applyNumberFormat="1" applyFont="1" applyFill="1" applyBorder="1" applyAlignment="1">
      <alignment/>
    </xf>
    <xf numFmtId="172" fontId="8" fillId="33" borderId="30" xfId="72" applyNumberFormat="1" applyFont="1" applyFill="1" applyBorder="1" applyAlignment="1">
      <alignment/>
    </xf>
    <xf numFmtId="172" fontId="9" fillId="33" borderId="0" xfId="61" applyNumberFormat="1" applyFont="1" applyFill="1" applyAlignment="1">
      <alignment horizontal="center" vertical="center"/>
      <protection/>
    </xf>
    <xf numFmtId="0" fontId="3" fillId="33" borderId="0" xfId="61" applyFont="1" applyFill="1" applyAlignment="1">
      <alignment horizontal="right"/>
      <protection/>
    </xf>
    <xf numFmtId="0" fontId="6" fillId="33" borderId="0" xfId="52" applyFont="1" applyFill="1" applyAlignment="1">
      <alignment horizontal="left"/>
      <protection/>
    </xf>
    <xf numFmtId="0" fontId="7" fillId="33" borderId="0" xfId="61" applyFont="1" applyFill="1" applyAlignment="1">
      <alignment horizontal="center"/>
      <protection/>
    </xf>
    <xf numFmtId="0" fontId="9" fillId="33" borderId="0" xfId="61" applyFont="1" applyFill="1" applyBorder="1" applyAlignment="1">
      <alignment horizontal="center"/>
      <protection/>
    </xf>
    <xf numFmtId="0" fontId="9" fillId="33" borderId="0" xfId="61" applyFont="1" applyFill="1" applyAlignment="1">
      <alignment horizontal="left" vertical="center" wrapText="1"/>
      <protection/>
    </xf>
    <xf numFmtId="172" fontId="6" fillId="33" borderId="0" xfId="61" applyNumberFormat="1" applyFont="1" applyFill="1">
      <alignment/>
      <protection/>
    </xf>
    <xf numFmtId="0" fontId="9" fillId="33" borderId="27" xfId="61" applyFont="1" applyFill="1" applyBorder="1" applyAlignment="1">
      <alignment horizontal="right"/>
      <protection/>
    </xf>
    <xf numFmtId="171" fontId="2" fillId="33" borderId="0" xfId="69" applyFont="1" applyFill="1" applyAlignment="1">
      <alignment/>
    </xf>
    <xf numFmtId="172" fontId="3" fillId="0" borderId="0" xfId="72" applyNumberFormat="1" applyFont="1" applyFill="1" applyAlignment="1">
      <alignment horizontal="right"/>
    </xf>
    <xf numFmtId="172" fontId="6" fillId="0" borderId="0" xfId="72" applyNumberFormat="1" applyFont="1" applyFill="1" applyAlignment="1">
      <alignment/>
    </xf>
    <xf numFmtId="172" fontId="2" fillId="0" borderId="0" xfId="72" applyNumberFormat="1" applyFont="1" applyFill="1" applyAlignment="1">
      <alignment/>
    </xf>
    <xf numFmtId="172" fontId="9" fillId="0" borderId="0" xfId="72" applyNumberFormat="1" applyFont="1" applyFill="1" applyBorder="1" applyAlignment="1">
      <alignment horizontal="center"/>
    </xf>
    <xf numFmtId="172" fontId="9" fillId="0" borderId="12" xfId="72" applyNumberFormat="1" applyFont="1" applyFill="1" applyBorder="1" applyAlignment="1">
      <alignment/>
    </xf>
    <xf numFmtId="172" fontId="8" fillId="0" borderId="21" xfId="72" applyNumberFormat="1" applyFont="1" applyFill="1" applyBorder="1" applyAlignment="1">
      <alignment horizontal="center"/>
    </xf>
    <xf numFmtId="172" fontId="8" fillId="0" borderId="15" xfId="69" applyNumberFormat="1" applyFont="1" applyFill="1" applyBorder="1" applyAlignment="1">
      <alignment horizontal="center"/>
    </xf>
    <xf numFmtId="172" fontId="8" fillId="0" borderId="11" xfId="72" applyNumberFormat="1" applyFont="1" applyFill="1" applyBorder="1" applyAlignment="1">
      <alignment horizontal="center"/>
    </xf>
    <xf numFmtId="172" fontId="8" fillId="0" borderId="11" xfId="72" applyNumberFormat="1" applyFont="1" applyFill="1" applyBorder="1" applyAlignment="1">
      <alignment horizontal="right"/>
    </xf>
    <xf numFmtId="172" fontId="8" fillId="0" borderId="25" xfId="69" applyNumberFormat="1" applyFont="1" applyFill="1" applyBorder="1" applyAlignment="1">
      <alignment horizontal="center"/>
    </xf>
    <xf numFmtId="172" fontId="9" fillId="0" borderId="0" xfId="72" applyNumberFormat="1" applyFont="1" applyFill="1" applyAlignment="1">
      <alignment/>
    </xf>
    <xf numFmtId="172" fontId="9" fillId="0" borderId="0" xfId="72" applyNumberFormat="1" applyFont="1" applyFill="1" applyAlignment="1">
      <alignment horizontal="center" vertical="center"/>
    </xf>
    <xf numFmtId="172" fontId="9" fillId="0" borderId="0" xfId="72" applyNumberFormat="1" applyFont="1" applyFill="1" applyBorder="1" applyAlignment="1">
      <alignment/>
    </xf>
    <xf numFmtId="172" fontId="8" fillId="0" borderId="31" xfId="72" applyNumberFormat="1" applyFont="1" applyFill="1" applyBorder="1" applyAlignment="1">
      <alignment/>
    </xf>
    <xf numFmtId="0" fontId="9" fillId="33" borderId="0" xfId="61" applyFont="1" applyFill="1" applyAlignment="1">
      <alignment horizontal="left" vertical="center" wrapText="1"/>
      <protection/>
    </xf>
    <xf numFmtId="0" fontId="8" fillId="33" borderId="0" xfId="61" applyFont="1" applyFill="1" applyAlignment="1">
      <alignment horizontal="left" vertical="center" wrapText="1"/>
      <protection/>
    </xf>
    <xf numFmtId="0" fontId="9" fillId="33" borderId="32" xfId="61" applyFont="1" applyFill="1" applyBorder="1" applyAlignment="1">
      <alignment horizontal="center" vertical="center"/>
      <protection/>
    </xf>
    <xf numFmtId="0" fontId="9" fillId="33" borderId="33" xfId="61" applyFont="1" applyFill="1" applyBorder="1" applyAlignment="1">
      <alignment horizontal="center" vertical="center"/>
      <protection/>
    </xf>
    <xf numFmtId="0" fontId="9" fillId="33" borderId="34" xfId="61" applyFont="1" applyFill="1" applyBorder="1" applyAlignment="1">
      <alignment horizontal="center" vertical="center"/>
      <protection/>
    </xf>
    <xf numFmtId="0" fontId="9" fillId="33" borderId="19" xfId="61" applyFont="1" applyFill="1" applyBorder="1" applyAlignment="1">
      <alignment horizontal="center" vertical="center"/>
      <protection/>
    </xf>
    <xf numFmtId="0" fontId="9" fillId="33" borderId="22" xfId="61" applyFont="1" applyFill="1" applyBorder="1" applyAlignment="1">
      <alignment horizontal="center" vertical="center"/>
      <protection/>
    </xf>
    <xf numFmtId="0" fontId="9" fillId="33" borderId="35" xfId="61" applyFont="1" applyFill="1" applyBorder="1" applyAlignment="1">
      <alignment horizontal="center" vertical="center"/>
      <protection/>
    </xf>
    <xf numFmtId="0" fontId="9" fillId="33" borderId="19" xfId="61" applyFont="1" applyFill="1" applyBorder="1" applyAlignment="1">
      <alignment horizontal="center"/>
      <protection/>
    </xf>
    <xf numFmtId="0" fontId="9" fillId="33" borderId="22" xfId="61" applyFont="1" applyFill="1" applyBorder="1" applyAlignment="1">
      <alignment horizontal="center"/>
      <protection/>
    </xf>
    <xf numFmtId="0" fontId="9" fillId="33" borderId="35" xfId="61" applyFont="1" applyFill="1" applyBorder="1" applyAlignment="1">
      <alignment horizontal="center"/>
      <protection/>
    </xf>
    <xf numFmtId="0" fontId="9" fillId="33" borderId="36" xfId="61" applyFont="1" applyFill="1" applyBorder="1" applyAlignment="1">
      <alignment horizontal="center" vertical="center" textRotation="90" wrapText="1"/>
      <protection/>
    </xf>
    <xf numFmtId="0" fontId="9" fillId="33" borderId="18" xfId="61" applyFont="1" applyFill="1" applyBorder="1" applyAlignment="1">
      <alignment horizontal="center" vertical="center" textRotation="90" wrapText="1"/>
      <protection/>
    </xf>
    <xf numFmtId="0" fontId="9" fillId="33" borderId="29" xfId="61" applyFont="1" applyFill="1" applyBorder="1" applyAlignment="1">
      <alignment horizontal="center" vertical="center" textRotation="90" wrapText="1"/>
      <protection/>
    </xf>
    <xf numFmtId="0" fontId="9" fillId="33" borderId="11" xfId="61" applyFont="1" applyFill="1" applyBorder="1" applyAlignment="1">
      <alignment horizontal="center" vertical="center" wrapText="1"/>
      <protection/>
    </xf>
    <xf numFmtId="0" fontId="9" fillId="33" borderId="29" xfId="61" applyFont="1" applyFill="1" applyBorder="1" applyAlignment="1">
      <alignment horizontal="center" vertical="center" wrapText="1"/>
      <protection/>
    </xf>
    <xf numFmtId="9" fontId="6" fillId="33" borderId="11" xfId="61" applyNumberFormat="1" applyFont="1" applyFill="1" applyBorder="1" applyAlignment="1">
      <alignment horizontal="center" vertical="center" wrapText="1"/>
      <protection/>
    </xf>
    <xf numFmtId="9" fontId="6" fillId="33" borderId="29" xfId="61" applyNumberFormat="1" applyFont="1" applyFill="1" applyBorder="1" applyAlignment="1">
      <alignment horizontal="center" vertical="center" wrapText="1"/>
      <protection/>
    </xf>
    <xf numFmtId="9" fontId="2" fillId="33" borderId="11" xfId="61" applyNumberFormat="1" applyFont="1" applyFill="1" applyBorder="1" applyAlignment="1">
      <alignment horizontal="center" vertical="center" wrapText="1"/>
      <protection/>
    </xf>
    <xf numFmtId="9" fontId="2" fillId="33" borderId="29" xfId="61" applyNumberFormat="1" applyFont="1" applyFill="1" applyBorder="1" applyAlignment="1">
      <alignment horizontal="center" vertical="center" wrapText="1"/>
      <protection/>
    </xf>
    <xf numFmtId="0" fontId="8" fillId="33" borderId="0" xfId="61" applyFont="1" applyFill="1" applyAlignment="1">
      <alignment horizontal="center"/>
      <protection/>
    </xf>
    <xf numFmtId="0" fontId="9" fillId="33" borderId="0" xfId="61" applyFont="1" applyFill="1" applyBorder="1" applyAlignment="1">
      <alignment horizontal="center"/>
      <protection/>
    </xf>
    <xf numFmtId="0" fontId="9" fillId="33" borderId="37" xfId="61" applyFont="1" applyFill="1" applyBorder="1" applyAlignment="1">
      <alignment horizontal="center" vertical="center"/>
      <protection/>
    </xf>
    <xf numFmtId="0" fontId="9" fillId="33" borderId="38" xfId="61" applyFont="1" applyFill="1" applyBorder="1" applyAlignment="1">
      <alignment horizontal="center" vertical="center"/>
      <protection/>
    </xf>
    <xf numFmtId="0" fontId="9" fillId="33" borderId="39" xfId="61" applyFont="1" applyFill="1" applyBorder="1" applyAlignment="1">
      <alignment horizontal="center" vertical="center"/>
      <protection/>
    </xf>
    <xf numFmtId="0" fontId="9" fillId="33" borderId="36" xfId="61" applyFont="1" applyFill="1" applyBorder="1" applyAlignment="1">
      <alignment horizontal="center" vertical="center" wrapText="1"/>
      <protection/>
    </xf>
    <xf numFmtId="0" fontId="9" fillId="33" borderId="18" xfId="61" applyFont="1" applyFill="1" applyBorder="1" applyAlignment="1">
      <alignment horizontal="center" vertical="center" wrapText="1"/>
      <protection/>
    </xf>
    <xf numFmtId="172" fontId="9" fillId="0" borderId="36" xfId="72" applyNumberFormat="1" applyFont="1" applyFill="1" applyBorder="1" applyAlignment="1">
      <alignment horizontal="center" vertical="center" wrapText="1"/>
    </xf>
    <xf numFmtId="172" fontId="9" fillId="0" borderId="18" xfId="72" applyNumberFormat="1" applyFont="1" applyFill="1" applyBorder="1" applyAlignment="1">
      <alignment horizontal="center" vertical="center" wrapText="1"/>
    </xf>
    <xf numFmtId="172" fontId="9" fillId="0" borderId="29" xfId="72" applyNumberFormat="1" applyFont="1" applyFill="1" applyBorder="1" applyAlignment="1">
      <alignment horizontal="center" vertical="center" wrapText="1"/>
    </xf>
    <xf numFmtId="0" fontId="9" fillId="33" borderId="40" xfId="61" applyFont="1" applyFill="1" applyBorder="1" applyAlignment="1">
      <alignment horizontal="center" vertical="center" wrapText="1"/>
      <protection/>
    </xf>
    <xf numFmtId="0" fontId="9" fillId="33" borderId="41" xfId="61" applyFont="1" applyFill="1" applyBorder="1" applyAlignment="1">
      <alignment horizontal="center" vertical="center" wrapText="1"/>
      <protection/>
    </xf>
    <xf numFmtId="0" fontId="9" fillId="33" borderId="42" xfId="61" applyFont="1" applyFill="1" applyBorder="1" applyAlignment="1">
      <alignment horizontal="center" vertical="center" wrapText="1"/>
      <protection/>
    </xf>
    <xf numFmtId="0" fontId="9" fillId="33" borderId="43" xfId="61" applyFont="1" applyFill="1" applyBorder="1" applyAlignment="1">
      <alignment horizontal="center" vertical="center" wrapText="1"/>
      <protection/>
    </xf>
    <xf numFmtId="0" fontId="9" fillId="33" borderId="44" xfId="61" applyFont="1" applyFill="1" applyBorder="1" applyAlignment="1">
      <alignment horizontal="center" vertical="center" wrapText="1"/>
      <protection/>
    </xf>
    <xf numFmtId="0" fontId="9" fillId="33" borderId="0" xfId="61" applyFont="1" applyFill="1" applyAlignment="1">
      <alignment horizontal="center" vertical="center" wrapText="1"/>
      <protection/>
    </xf>
    <xf numFmtId="0" fontId="6" fillId="33" borderId="0" xfId="52" applyFont="1" applyFill="1" applyAlignment="1">
      <alignment horizontal="left"/>
      <protection/>
    </xf>
    <xf numFmtId="0" fontId="9" fillId="33" borderId="0" xfId="61" applyFont="1" applyFill="1" applyAlignment="1">
      <alignment horizontal="center"/>
      <protection/>
    </xf>
    <xf numFmtId="0" fontId="12" fillId="33" borderId="0" xfId="61" applyFont="1" applyFill="1" applyAlignment="1">
      <alignment horizontal="center" vertical="center" wrapText="1"/>
      <protection/>
    </xf>
    <xf numFmtId="0" fontId="3" fillId="33" borderId="0" xfId="61" applyFont="1" applyFill="1" applyAlignment="1">
      <alignment horizontal="right"/>
      <protection/>
    </xf>
    <xf numFmtId="0" fontId="7" fillId="33" borderId="0" xfId="61" applyFont="1" applyFill="1" applyAlignment="1">
      <alignment horizontal="center"/>
      <protection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3" xfId="55"/>
    <cellStyle name="Обычный 4" xfId="56"/>
    <cellStyle name="Обычный 4 2" xfId="57"/>
    <cellStyle name="Обычный 5" xfId="58"/>
    <cellStyle name="Обычный 5 2" xfId="59"/>
    <cellStyle name="Обычный 6" xfId="60"/>
    <cellStyle name="Обычный_штатное расписание_УЗАРХИВ_2011 год_ATT19562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Финансовый [0] 2" xfId="71"/>
    <cellStyle name="Финансовый 2" xfId="72"/>
    <cellStyle name="Финансовый 2 2" xfId="73"/>
    <cellStyle name="Финансовый 3" xfId="74"/>
    <cellStyle name="Финансовый 3 2" xfId="75"/>
    <cellStyle name="Финансовый 3 2 2" xfId="76"/>
    <cellStyle name="Финансовый 3 2 3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4"/>
  <sheetViews>
    <sheetView tabSelected="1" view="pageBreakPreview" zoomScaleSheetLayoutView="100" zoomScalePageLayoutView="0" workbookViewId="0" topLeftCell="A4">
      <selection activeCell="P12" sqref="P1:V16384"/>
    </sheetView>
  </sheetViews>
  <sheetFormatPr defaultColWidth="9.00390625" defaultRowHeight="12.75"/>
  <cols>
    <col min="1" max="1" width="5.00390625" style="1" customWidth="1"/>
    <col min="2" max="2" width="29.375" style="2" customWidth="1"/>
    <col min="3" max="3" width="7.625" style="2" customWidth="1"/>
    <col min="4" max="4" width="7.125" style="2" customWidth="1"/>
    <col min="5" max="5" width="8.375" style="2" customWidth="1"/>
    <col min="6" max="6" width="17.25390625" style="105" customWidth="1"/>
    <col min="7" max="7" width="6.375" style="2" customWidth="1"/>
    <col min="8" max="8" width="17.00390625" style="2" customWidth="1"/>
    <col min="9" max="9" width="6.25390625" style="2" customWidth="1"/>
    <col min="10" max="10" width="13.375" style="2" customWidth="1"/>
    <col min="11" max="11" width="5.875" style="2" customWidth="1"/>
    <col min="12" max="12" width="17.75390625" style="2" customWidth="1"/>
    <col min="13" max="13" width="18.125" style="2" customWidth="1"/>
    <col min="14" max="14" width="20.875" style="2" customWidth="1"/>
    <col min="15" max="15" width="4.125" style="3" customWidth="1"/>
    <col min="16" max="16384" width="9.125" style="2" customWidth="1"/>
  </cols>
  <sheetData>
    <row r="1" spans="6:14" ht="15.75" hidden="1">
      <c r="F1" s="104"/>
      <c r="G1" s="96"/>
      <c r="H1" s="157" t="s">
        <v>1</v>
      </c>
      <c r="I1" s="157"/>
      <c r="J1" s="157"/>
      <c r="K1" s="157"/>
      <c r="L1" s="157"/>
      <c r="M1" s="157"/>
      <c r="N1" s="157"/>
    </row>
    <row r="2" spans="6:14" ht="15.75" hidden="1">
      <c r="F2" s="157" t="s">
        <v>2</v>
      </c>
      <c r="G2" s="157"/>
      <c r="H2" s="157"/>
      <c r="I2" s="157"/>
      <c r="J2" s="157"/>
      <c r="K2" s="157"/>
      <c r="L2" s="157"/>
      <c r="M2" s="157"/>
      <c r="N2" s="157"/>
    </row>
    <row r="3" spans="6:14" ht="15.75" hidden="1">
      <c r="F3" s="157" t="s">
        <v>3</v>
      </c>
      <c r="G3" s="157"/>
      <c r="H3" s="157"/>
      <c r="I3" s="157"/>
      <c r="J3" s="157"/>
      <c r="K3" s="157"/>
      <c r="L3" s="157"/>
      <c r="M3" s="157"/>
      <c r="N3" s="157"/>
    </row>
    <row r="4" spans="6:14" ht="15.75">
      <c r="F4" s="104"/>
      <c r="G4" s="96"/>
      <c r="H4" s="96"/>
      <c r="I4" s="96"/>
      <c r="J4" s="96"/>
      <c r="K4" s="96"/>
      <c r="L4" s="96"/>
      <c r="M4" s="96"/>
      <c r="N4" s="96"/>
    </row>
    <row r="5" spans="1:14" ht="35.25" customHeight="1">
      <c r="A5" s="4"/>
      <c r="B5" s="154" t="s">
        <v>4</v>
      </c>
      <c r="C5" s="154"/>
      <c r="D5" s="154"/>
      <c r="E5" s="154"/>
      <c r="F5" s="154"/>
      <c r="H5" s="5"/>
      <c r="I5" s="5"/>
      <c r="J5" s="5"/>
      <c r="K5" s="5"/>
      <c r="L5" s="5"/>
      <c r="M5" s="5"/>
      <c r="N5" s="6"/>
    </row>
    <row r="6" spans="1:14" ht="15.75">
      <c r="A6" s="4"/>
      <c r="B6" s="154" t="s">
        <v>73</v>
      </c>
      <c r="C6" s="154"/>
      <c r="D6" s="154"/>
      <c r="E6" s="154"/>
      <c r="F6" s="154"/>
      <c r="G6" s="158" t="s">
        <v>74</v>
      </c>
      <c r="H6" s="158"/>
      <c r="I6" s="158"/>
      <c r="J6" s="158"/>
      <c r="K6" s="158"/>
      <c r="L6" s="158"/>
      <c r="M6" s="158"/>
      <c r="N6" s="158"/>
    </row>
    <row r="7" spans="1:15" ht="15.75" customHeight="1">
      <c r="A7" s="4"/>
      <c r="B7" s="154" t="s">
        <v>5</v>
      </c>
      <c r="C7" s="154"/>
      <c r="D7" s="154"/>
      <c r="E7" s="154"/>
      <c r="F7" s="154"/>
      <c r="H7" s="7"/>
      <c r="I7" s="7"/>
      <c r="J7" s="153" t="s">
        <v>72</v>
      </c>
      <c r="K7" s="153"/>
      <c r="L7" s="153"/>
      <c r="M7" s="153"/>
      <c r="N7" s="153"/>
      <c r="O7" s="7"/>
    </row>
    <row r="8" spans="1:15" ht="37.5" customHeight="1">
      <c r="A8" s="4"/>
      <c r="B8" s="154"/>
      <c r="C8" s="154"/>
      <c r="D8" s="154"/>
      <c r="H8" s="7"/>
      <c r="I8" s="7"/>
      <c r="J8" s="156" t="s">
        <v>71</v>
      </c>
      <c r="K8" s="156"/>
      <c r="L8" s="156"/>
      <c r="M8" s="156"/>
      <c r="N8" s="156"/>
      <c r="O8" s="7"/>
    </row>
    <row r="9" spans="1:15" ht="15.75" customHeight="1">
      <c r="A9" s="4"/>
      <c r="B9" s="154"/>
      <c r="C9" s="154"/>
      <c r="D9" s="8"/>
      <c r="H9" s="7"/>
      <c r="I9" s="7"/>
      <c r="J9" s="153" t="s">
        <v>61</v>
      </c>
      <c r="K9" s="153"/>
      <c r="L9" s="153"/>
      <c r="M9" s="153"/>
      <c r="N9" s="153"/>
      <c r="O9" s="7"/>
    </row>
    <row r="10" spans="1:15" ht="15.75" customHeight="1">
      <c r="A10" s="4"/>
      <c r="B10" s="9" t="s">
        <v>66</v>
      </c>
      <c r="C10" s="97"/>
      <c r="D10" s="97"/>
      <c r="H10" s="7"/>
      <c r="I10" s="7"/>
      <c r="J10" s="153" t="s">
        <v>60</v>
      </c>
      <c r="K10" s="153"/>
      <c r="L10" s="153"/>
      <c r="M10" s="153"/>
      <c r="N10" s="153"/>
      <c r="O10" s="7"/>
    </row>
    <row r="11" spans="1:15" ht="15.75">
      <c r="A11" s="4"/>
      <c r="B11" s="154"/>
      <c r="C11" s="154"/>
      <c r="D11" s="8"/>
      <c r="H11" s="10"/>
      <c r="I11" s="10"/>
      <c r="J11" s="10"/>
      <c r="K11" s="10"/>
      <c r="L11" s="10"/>
      <c r="M11" s="10"/>
      <c r="N11" s="10"/>
      <c r="O11" s="11"/>
    </row>
    <row r="12" spans="1:14" ht="15.75">
      <c r="A12" s="12"/>
      <c r="B12" s="13" t="s">
        <v>64</v>
      </c>
      <c r="C12" s="13"/>
      <c r="D12" s="13"/>
      <c r="H12" s="12"/>
      <c r="I12" s="12"/>
      <c r="J12" s="14" t="s">
        <v>6</v>
      </c>
      <c r="K12" s="12" t="s">
        <v>7</v>
      </c>
      <c r="M12" s="98"/>
      <c r="N12" s="6"/>
    </row>
    <row r="13" spans="1:14" ht="21.75" customHeight="1">
      <c r="A13" s="15"/>
      <c r="B13" s="15" t="s">
        <v>65</v>
      </c>
      <c r="C13" s="16"/>
      <c r="D13" s="17"/>
      <c r="H13" s="12"/>
      <c r="I13" s="12"/>
      <c r="J13" s="18" t="s">
        <v>8</v>
      </c>
      <c r="K13" s="12"/>
      <c r="L13" s="4" t="s">
        <v>9</v>
      </c>
      <c r="M13" s="98"/>
      <c r="N13" s="6"/>
    </row>
    <row r="14" spans="1:14" ht="15.75">
      <c r="A14" s="2"/>
      <c r="N14" s="19"/>
    </row>
    <row r="15" spans="5:14" ht="20.25" customHeight="1">
      <c r="E15" s="20"/>
      <c r="F15" s="106"/>
      <c r="G15" s="20"/>
      <c r="H15" s="20"/>
      <c r="I15" s="20"/>
      <c r="J15" s="20"/>
      <c r="K15" s="20"/>
      <c r="L15" s="20"/>
      <c r="M15" s="103"/>
      <c r="N15" s="20"/>
    </row>
    <row r="16" spans="1:15" ht="18" customHeight="1">
      <c r="A16" s="138" t="s">
        <v>10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</row>
    <row r="17" spans="1:15" ht="18" customHeight="1">
      <c r="A17" s="138" t="s">
        <v>70</v>
      </c>
      <c r="B17" s="138"/>
      <c r="C17" s="138"/>
      <c r="D17" s="138"/>
      <c r="E17" s="138"/>
      <c r="F17" s="138" t="s">
        <v>11</v>
      </c>
      <c r="G17" s="138"/>
      <c r="H17" s="138"/>
      <c r="I17" s="138"/>
      <c r="J17" s="138"/>
      <c r="K17" s="138"/>
      <c r="L17" s="138"/>
      <c r="M17" s="138"/>
      <c r="N17" s="138"/>
      <c r="O17" s="138"/>
    </row>
    <row r="18" spans="1:15" ht="16.5">
      <c r="A18" s="138" t="s">
        <v>0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</row>
    <row r="19" spans="1:15" ht="16.5">
      <c r="A19" s="155" t="s">
        <v>12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16.5">
      <c r="A20" s="138" t="s">
        <v>0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</row>
    <row r="21" spans="1:15" ht="16.5">
      <c r="A21" s="139" t="s">
        <v>13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</row>
    <row r="22" spans="1:15" ht="17.25" thickBot="1">
      <c r="A22" s="99"/>
      <c r="B22" s="99"/>
      <c r="C22" s="99"/>
      <c r="D22" s="99"/>
      <c r="E22" s="99"/>
      <c r="F22" s="107"/>
      <c r="G22" s="21"/>
      <c r="H22" s="21"/>
      <c r="I22" s="21"/>
      <c r="J22" s="21"/>
      <c r="K22" s="21"/>
      <c r="L22" s="21"/>
      <c r="M22" s="21"/>
      <c r="N22" s="21"/>
      <c r="O22" s="21"/>
    </row>
    <row r="23" spans="1:15" ht="30.75" customHeight="1">
      <c r="A23" s="140"/>
      <c r="B23" s="143" t="s">
        <v>14</v>
      </c>
      <c r="C23" s="129" t="s">
        <v>15</v>
      </c>
      <c r="D23" s="129" t="s">
        <v>16</v>
      </c>
      <c r="E23" s="129" t="s">
        <v>17</v>
      </c>
      <c r="F23" s="145" t="s">
        <v>18</v>
      </c>
      <c r="G23" s="148" t="s">
        <v>19</v>
      </c>
      <c r="H23" s="149"/>
      <c r="I23" s="149"/>
      <c r="J23" s="149"/>
      <c r="K23" s="149"/>
      <c r="L23" s="149"/>
      <c r="M23" s="150"/>
      <c r="N23" s="143" t="s">
        <v>20</v>
      </c>
      <c r="O23" s="129" t="s">
        <v>21</v>
      </c>
    </row>
    <row r="24" spans="1:15" ht="51" customHeight="1">
      <c r="A24" s="141"/>
      <c r="B24" s="144"/>
      <c r="C24" s="130"/>
      <c r="D24" s="130"/>
      <c r="E24" s="130"/>
      <c r="F24" s="146"/>
      <c r="G24" s="132" t="s">
        <v>22</v>
      </c>
      <c r="H24" s="22">
        <v>0.4</v>
      </c>
      <c r="I24" s="134" t="s">
        <v>23</v>
      </c>
      <c r="J24" s="23" t="s">
        <v>24</v>
      </c>
      <c r="K24" s="134" t="s">
        <v>23</v>
      </c>
      <c r="L24" s="23" t="s">
        <v>25</v>
      </c>
      <c r="M24" s="136" t="s">
        <v>76</v>
      </c>
      <c r="N24" s="151"/>
      <c r="O24" s="130"/>
    </row>
    <row r="25" spans="1:15" ht="36.75" customHeight="1" thickBot="1">
      <c r="A25" s="142"/>
      <c r="B25" s="133"/>
      <c r="C25" s="131"/>
      <c r="D25" s="131"/>
      <c r="E25" s="131"/>
      <c r="F25" s="147"/>
      <c r="G25" s="133"/>
      <c r="H25" s="24" t="s">
        <v>26</v>
      </c>
      <c r="I25" s="135"/>
      <c r="J25" s="25" t="s">
        <v>27</v>
      </c>
      <c r="K25" s="135"/>
      <c r="L25" s="26" t="s">
        <v>28</v>
      </c>
      <c r="M25" s="137"/>
      <c r="N25" s="152"/>
      <c r="O25" s="131"/>
    </row>
    <row r="26" spans="1:15" ht="33" customHeight="1" thickBot="1">
      <c r="A26" s="126" t="s">
        <v>29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8"/>
    </row>
    <row r="27" spans="1:15" ht="16.5">
      <c r="A27" s="27">
        <v>1</v>
      </c>
      <c r="B27" s="28" t="s">
        <v>30</v>
      </c>
      <c r="C27" s="29">
        <v>1</v>
      </c>
      <c r="D27" s="29">
        <v>17</v>
      </c>
      <c r="E27" s="30">
        <v>2.847</v>
      </c>
      <c r="F27" s="108">
        <f>SUM(E27*822000*1.6)</f>
        <v>3744374.4000000004</v>
      </c>
      <c r="G27" s="32">
        <v>0.4</v>
      </c>
      <c r="H27" s="31">
        <f>+F27*0.4</f>
        <v>1497749.7600000002</v>
      </c>
      <c r="I27" s="32"/>
      <c r="J27" s="31"/>
      <c r="K27" s="32">
        <v>0.2</v>
      </c>
      <c r="L27" s="31">
        <f>+F27*0.2</f>
        <v>748874.8800000001</v>
      </c>
      <c r="M27" s="31"/>
      <c r="N27" s="31">
        <f>(F27+H27+L27+M27)*C27</f>
        <v>5990999.04</v>
      </c>
      <c r="O27" s="33"/>
    </row>
    <row r="28" spans="1:15" ht="16.5">
      <c r="A28" s="27">
        <v>2</v>
      </c>
      <c r="B28" s="46" t="s">
        <v>31</v>
      </c>
      <c r="C28" s="34">
        <v>1</v>
      </c>
      <c r="D28" s="34">
        <v>16</v>
      </c>
      <c r="E28" s="35">
        <v>2.704</v>
      </c>
      <c r="F28" s="108">
        <f>SUM(E28*822000*1.6)</f>
        <v>3556300.8000000003</v>
      </c>
      <c r="G28" s="32">
        <v>0.4</v>
      </c>
      <c r="H28" s="31">
        <f>+F28*0.4</f>
        <v>1422520.3200000003</v>
      </c>
      <c r="I28" s="32"/>
      <c r="J28" s="31"/>
      <c r="K28" s="32">
        <v>0.3</v>
      </c>
      <c r="L28" s="31">
        <f>+F28*0.3</f>
        <v>1066890.24</v>
      </c>
      <c r="M28" s="31"/>
      <c r="N28" s="31">
        <f>(F28+H28+L28+M28)*C28</f>
        <v>6045711.360000001</v>
      </c>
      <c r="O28" s="33"/>
    </row>
    <row r="29" spans="1:15" ht="16.5">
      <c r="A29" s="27">
        <v>3</v>
      </c>
      <c r="B29" s="46" t="s">
        <v>31</v>
      </c>
      <c r="C29" s="34">
        <v>1</v>
      </c>
      <c r="D29" s="34">
        <v>16</v>
      </c>
      <c r="E29" s="35">
        <v>2.704</v>
      </c>
      <c r="F29" s="108">
        <f>SUM(E29*822000*1.6)</f>
        <v>3556300.8000000003</v>
      </c>
      <c r="G29" s="32">
        <v>0.4</v>
      </c>
      <c r="H29" s="31">
        <f>+F29*0.4</f>
        <v>1422520.3200000003</v>
      </c>
      <c r="I29" s="32"/>
      <c r="J29" s="31"/>
      <c r="K29" s="32">
        <v>0.1</v>
      </c>
      <c r="L29" s="31">
        <f>+F29*0.1</f>
        <v>355630.0800000001</v>
      </c>
      <c r="M29" s="31"/>
      <c r="N29" s="31">
        <f>(F29+H29+L29+M29)*C29</f>
        <v>5334451.200000001</v>
      </c>
      <c r="O29" s="33"/>
    </row>
    <row r="30" spans="1:15" s="14" customFormat="1" ht="17.25" thickBot="1">
      <c r="A30" s="66"/>
      <c r="B30" s="67" t="s">
        <v>32</v>
      </c>
      <c r="C30" s="68">
        <f>SUM(C27:C29)</f>
        <v>3</v>
      </c>
      <c r="D30" s="68"/>
      <c r="E30" s="69"/>
      <c r="F30" s="109">
        <f>SUM(F27:F29)</f>
        <v>10856976.000000002</v>
      </c>
      <c r="G30" s="70"/>
      <c r="H30" s="70">
        <f>SUM(H27:H29)</f>
        <v>4342790.4</v>
      </c>
      <c r="I30" s="70"/>
      <c r="J30" s="70"/>
      <c r="K30" s="70"/>
      <c r="L30" s="70">
        <f>SUM(L27:L29)</f>
        <v>2171395.2</v>
      </c>
      <c r="M30" s="70"/>
      <c r="N30" s="70">
        <f>SUM(N27:N29)</f>
        <v>17371161.6</v>
      </c>
      <c r="O30" s="70"/>
    </row>
    <row r="31" spans="1:15" s="14" customFormat="1" ht="35.25" customHeight="1" thickBot="1">
      <c r="A31" s="126" t="s">
        <v>62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8"/>
    </row>
    <row r="32" spans="1:15" s="14" customFormat="1" ht="66.75" thickBot="1">
      <c r="A32" s="44">
        <v>4</v>
      </c>
      <c r="B32" s="46" t="s">
        <v>58</v>
      </c>
      <c r="C32" s="34">
        <v>1</v>
      </c>
      <c r="D32" s="34">
        <v>16</v>
      </c>
      <c r="E32" s="35">
        <v>2.704</v>
      </c>
      <c r="F32" s="108">
        <f>SUM(E32*822000*1.6)</f>
        <v>3556300.8000000003</v>
      </c>
      <c r="G32" s="32">
        <v>0.4</v>
      </c>
      <c r="H32" s="31">
        <f>+F32*0.4</f>
        <v>1422520.3200000003</v>
      </c>
      <c r="I32" s="32"/>
      <c r="J32" s="31"/>
      <c r="K32" s="32">
        <v>0.3</v>
      </c>
      <c r="L32" s="31">
        <f>+F32*0.3</f>
        <v>1066890.24</v>
      </c>
      <c r="M32" s="31">
        <f>+(F32+H32)*50%</f>
        <v>2489410.5600000005</v>
      </c>
      <c r="N32" s="31">
        <f>(F32+H32+L32+M32)*C32</f>
        <v>8535121.920000002</v>
      </c>
      <c r="O32" s="33"/>
    </row>
    <row r="33" spans="1:15" s="14" customFormat="1" ht="32.25" customHeight="1" thickBot="1">
      <c r="A33" s="126" t="s">
        <v>63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8"/>
    </row>
    <row r="34" spans="1:15" s="14" customFormat="1" ht="132">
      <c r="A34" s="44">
        <v>5</v>
      </c>
      <c r="B34" s="46" t="s">
        <v>59</v>
      </c>
      <c r="C34" s="34">
        <v>1</v>
      </c>
      <c r="D34" s="87">
        <v>16</v>
      </c>
      <c r="E34" s="102">
        <v>2.704</v>
      </c>
      <c r="F34" s="108">
        <f>SUM(E34*822000*1.6)</f>
        <v>3556300.8000000003</v>
      </c>
      <c r="G34" s="32">
        <v>0.4</v>
      </c>
      <c r="H34" s="31">
        <f>+F34*0.4</f>
        <v>1422520.3200000003</v>
      </c>
      <c r="I34" s="32"/>
      <c r="J34" s="31"/>
      <c r="K34" s="32">
        <v>0.1</v>
      </c>
      <c r="L34" s="31">
        <f>+F34*0.1</f>
        <v>355630.0800000001</v>
      </c>
      <c r="M34" s="31"/>
      <c r="N34" s="31">
        <f>(F34+H34+L34+M34)*C34</f>
        <v>5334451.200000001</v>
      </c>
      <c r="O34" s="33"/>
    </row>
    <row r="35" spans="1:15" s="14" customFormat="1" ht="17.25" thickBot="1">
      <c r="A35" s="47"/>
      <c r="B35" s="48"/>
      <c r="C35" s="49">
        <f>SUM(C32:C34)</f>
        <v>2</v>
      </c>
      <c r="D35" s="49"/>
      <c r="E35" s="48"/>
      <c r="F35" s="110">
        <f>SUM(F32:F34)</f>
        <v>7112601.600000001</v>
      </c>
      <c r="G35" s="50"/>
      <c r="H35" s="76">
        <f>SUM(H32:H34)</f>
        <v>2845040.6400000006</v>
      </c>
      <c r="I35" s="51"/>
      <c r="J35" s="52"/>
      <c r="K35" s="51"/>
      <c r="L35" s="76">
        <f>SUM(L32:L34)</f>
        <v>1422520.32</v>
      </c>
      <c r="M35" s="76">
        <f>SUM(M32:M34)</f>
        <v>2489410.5600000005</v>
      </c>
      <c r="N35" s="76">
        <f>SUM(N32:N34)</f>
        <v>13869573.120000003</v>
      </c>
      <c r="O35" s="53"/>
    </row>
    <row r="36" spans="1:15" ht="33" customHeight="1" thickBot="1">
      <c r="A36" s="126" t="s">
        <v>33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8"/>
    </row>
    <row r="37" spans="1:15" ht="16.5">
      <c r="A37" s="27">
        <v>6</v>
      </c>
      <c r="B37" s="46" t="s">
        <v>34</v>
      </c>
      <c r="C37" s="29">
        <v>1</v>
      </c>
      <c r="D37" s="29">
        <v>15</v>
      </c>
      <c r="E37" s="40">
        <v>2.561</v>
      </c>
      <c r="F37" s="108">
        <f>SUM(E37*822000*1.6)</f>
        <v>3368227.2</v>
      </c>
      <c r="G37" s="32">
        <v>0.4</v>
      </c>
      <c r="H37" s="31">
        <f>+F37*0.4</f>
        <v>1347290.8800000001</v>
      </c>
      <c r="I37" s="32"/>
      <c r="J37" s="31"/>
      <c r="K37" s="32">
        <v>0.3</v>
      </c>
      <c r="L37" s="31">
        <f>+F37*0.3</f>
        <v>1010468.16</v>
      </c>
      <c r="M37" s="31"/>
      <c r="N37" s="31">
        <f>(F37+H37+L37+M37)*C37</f>
        <v>5725986.24</v>
      </c>
      <c r="O37" s="33"/>
    </row>
    <row r="38" spans="1:15" ht="17.25" customHeight="1">
      <c r="A38" s="27">
        <v>7</v>
      </c>
      <c r="B38" s="46" t="s">
        <v>35</v>
      </c>
      <c r="C38" s="34">
        <v>1</v>
      </c>
      <c r="D38" s="34">
        <v>11</v>
      </c>
      <c r="E38" s="41">
        <v>2.014</v>
      </c>
      <c r="F38" s="108">
        <f>SUM(E38*822000*1.6)</f>
        <v>2648812.8</v>
      </c>
      <c r="G38" s="32">
        <v>0.4</v>
      </c>
      <c r="H38" s="31">
        <f>+F38*0.4</f>
        <v>1059525.1199999999</v>
      </c>
      <c r="I38" s="32"/>
      <c r="J38" s="31"/>
      <c r="K38" s="32">
        <v>0.3</v>
      </c>
      <c r="L38" s="31">
        <f>+F38*0.3</f>
        <v>794643.84</v>
      </c>
      <c r="M38" s="31">
        <f>+(F38+H38)*10%</f>
        <v>370833.792</v>
      </c>
      <c r="N38" s="31">
        <f>(F38+H38+L38+M38)*C38</f>
        <v>4873815.552</v>
      </c>
      <c r="O38" s="33"/>
    </row>
    <row r="39" spans="1:15" s="14" customFormat="1" ht="17.25" customHeight="1" thickBot="1">
      <c r="A39" s="36"/>
      <c r="B39" s="37" t="s">
        <v>36</v>
      </c>
      <c r="C39" s="38">
        <f>+C37+C38</f>
        <v>2</v>
      </c>
      <c r="D39" s="37"/>
      <c r="E39" s="37"/>
      <c r="F39" s="111">
        <f>SUM(F37:F38)</f>
        <v>6017040</v>
      </c>
      <c r="G39" s="42"/>
      <c r="H39" s="39">
        <f>SUM(H37:H38)</f>
        <v>2406816</v>
      </c>
      <c r="I39" s="32"/>
      <c r="J39" s="31"/>
      <c r="K39" s="32"/>
      <c r="L39" s="39">
        <f>SUM(L37:L38)</f>
        <v>1805112</v>
      </c>
      <c r="M39" s="39">
        <f>SUM(M37:M38)</f>
        <v>370833.792</v>
      </c>
      <c r="N39" s="39">
        <f>SUM(N37:N38)</f>
        <v>10599801.792</v>
      </c>
      <c r="O39" s="43"/>
    </row>
    <row r="40" spans="1:15" s="14" customFormat="1" ht="33" customHeight="1" thickBot="1">
      <c r="A40" s="126" t="s">
        <v>37</v>
      </c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8"/>
    </row>
    <row r="41" spans="1:15" s="14" customFormat="1" ht="16.5">
      <c r="A41" s="44">
        <v>8</v>
      </c>
      <c r="B41" s="46" t="s">
        <v>34</v>
      </c>
      <c r="C41" s="29">
        <v>1</v>
      </c>
      <c r="D41" s="29">
        <v>15</v>
      </c>
      <c r="E41" s="40">
        <v>2.561</v>
      </c>
      <c r="F41" s="108">
        <f>SUM(E41*822000*1.6)</f>
        <v>3368227.2</v>
      </c>
      <c r="G41" s="32">
        <v>0.4</v>
      </c>
      <c r="H41" s="31">
        <f>+F41*0.4</f>
        <v>1347290.8800000001</v>
      </c>
      <c r="I41" s="32"/>
      <c r="J41" s="31"/>
      <c r="K41" s="32">
        <v>0.4</v>
      </c>
      <c r="L41" s="31">
        <f>+F41*0.4</f>
        <v>1347290.8800000001</v>
      </c>
      <c r="M41" s="31"/>
      <c r="N41" s="31">
        <f>(F41+H41+L41+M41)*C41</f>
        <v>6062808.96</v>
      </c>
      <c r="O41" s="33"/>
    </row>
    <row r="42" spans="1:15" s="14" customFormat="1" ht="16.5">
      <c r="A42" s="45">
        <v>9</v>
      </c>
      <c r="B42" s="41" t="s">
        <v>35</v>
      </c>
      <c r="C42" s="34">
        <v>1</v>
      </c>
      <c r="D42" s="34">
        <v>11</v>
      </c>
      <c r="E42" s="41">
        <v>2.014</v>
      </c>
      <c r="F42" s="108">
        <f>SUM(E42*822000*1.6)</f>
        <v>2648812.8</v>
      </c>
      <c r="G42" s="32">
        <v>0.4</v>
      </c>
      <c r="H42" s="31">
        <f>+F42*0.4</f>
        <v>1059525.1199999999</v>
      </c>
      <c r="I42" s="32"/>
      <c r="J42" s="31"/>
      <c r="K42" s="32">
        <v>0.1</v>
      </c>
      <c r="L42" s="31">
        <f>+F42*0.1</f>
        <v>264881.27999999997</v>
      </c>
      <c r="M42" s="31"/>
      <c r="N42" s="31">
        <f>(F42+H42+L42+M42)*C42</f>
        <v>3973219.1999999997</v>
      </c>
      <c r="O42" s="33"/>
    </row>
    <row r="43" spans="1:15" s="14" customFormat="1" ht="17.25" thickBot="1">
      <c r="A43" s="36"/>
      <c r="B43" s="37" t="s">
        <v>36</v>
      </c>
      <c r="C43" s="38">
        <f>SUM(C41:C42)</f>
        <v>2</v>
      </c>
      <c r="D43" s="37"/>
      <c r="E43" s="37"/>
      <c r="F43" s="111">
        <f>SUM(F41:F42)</f>
        <v>6017040</v>
      </c>
      <c r="G43" s="42"/>
      <c r="H43" s="39">
        <f>SUM(H41:H42)</f>
        <v>2406816</v>
      </c>
      <c r="I43" s="32"/>
      <c r="J43" s="31"/>
      <c r="K43" s="32"/>
      <c r="L43" s="39">
        <f>SUM(L41:L42)</f>
        <v>1612172.1600000001</v>
      </c>
      <c r="M43" s="39">
        <f>SUM(M41:M42)</f>
        <v>0</v>
      </c>
      <c r="N43" s="39">
        <f>SUM(N41:N42)</f>
        <v>10036028.16</v>
      </c>
      <c r="O43" s="43"/>
    </row>
    <row r="44" spans="1:15" s="14" customFormat="1" ht="35.25" customHeight="1" thickBot="1">
      <c r="A44" s="126" t="s">
        <v>38</v>
      </c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8"/>
    </row>
    <row r="45" spans="1:15" s="14" customFormat="1" ht="16.5">
      <c r="A45" s="27">
        <v>10</v>
      </c>
      <c r="B45" s="46" t="s">
        <v>34</v>
      </c>
      <c r="C45" s="29">
        <v>1</v>
      </c>
      <c r="D45" s="29">
        <v>15</v>
      </c>
      <c r="E45" s="40">
        <v>2.561</v>
      </c>
      <c r="F45" s="108">
        <f>SUM(E45*822000*1.6)</f>
        <v>3368227.2</v>
      </c>
      <c r="G45" s="32">
        <v>0.4</v>
      </c>
      <c r="H45" s="31">
        <f>+F45*0.4</f>
        <v>1347290.8800000001</v>
      </c>
      <c r="I45" s="32"/>
      <c r="J45" s="31"/>
      <c r="K45" s="32">
        <v>0.1</v>
      </c>
      <c r="L45" s="31">
        <f>+F45*0.1</f>
        <v>336822.72000000003</v>
      </c>
      <c r="M45" s="31"/>
      <c r="N45" s="31">
        <f>(F45+H45+L45+M45)*C45</f>
        <v>5052340.8</v>
      </c>
      <c r="O45" s="33"/>
    </row>
    <row r="46" spans="1:15" s="14" customFormat="1" ht="16.5">
      <c r="A46" s="27">
        <v>11</v>
      </c>
      <c r="B46" s="41" t="s">
        <v>35</v>
      </c>
      <c r="C46" s="34">
        <v>1</v>
      </c>
      <c r="D46" s="34">
        <v>11</v>
      </c>
      <c r="E46" s="41">
        <v>2.014</v>
      </c>
      <c r="F46" s="108">
        <f>SUM(E46*822000*1.6)</f>
        <v>2648812.8</v>
      </c>
      <c r="G46" s="32">
        <v>0.4</v>
      </c>
      <c r="H46" s="31">
        <f>+F46*0.4</f>
        <v>1059525.1199999999</v>
      </c>
      <c r="I46" s="32"/>
      <c r="J46" s="31"/>
      <c r="K46" s="32">
        <v>0.6</v>
      </c>
      <c r="L46" s="31">
        <f>+F46*0.6</f>
        <v>1589287.68</v>
      </c>
      <c r="M46" s="31"/>
      <c r="N46" s="31">
        <f>(F46+H46+L46+M46)*C46</f>
        <v>5297625.6</v>
      </c>
      <c r="O46" s="33"/>
    </row>
    <row r="47" spans="1:15" s="14" customFormat="1" ht="17.25" thickBot="1">
      <c r="A47" s="27"/>
      <c r="B47" s="37" t="s">
        <v>36</v>
      </c>
      <c r="C47" s="38">
        <f>SUM(C45:C46)</f>
        <v>2</v>
      </c>
      <c r="D47" s="37"/>
      <c r="E47" s="37"/>
      <c r="F47" s="111">
        <f>SUM(F45:F46)</f>
        <v>6017040</v>
      </c>
      <c r="G47" s="42"/>
      <c r="H47" s="39">
        <f>SUM(H45:H46)</f>
        <v>2406816</v>
      </c>
      <c r="I47" s="32"/>
      <c r="J47" s="31"/>
      <c r="K47" s="32"/>
      <c r="L47" s="39">
        <f>SUM(L45:L46)</f>
        <v>1926110.4</v>
      </c>
      <c r="M47" s="39"/>
      <c r="N47" s="39">
        <f>SUM(N45:N46)</f>
        <v>10349966.399999999</v>
      </c>
      <c r="O47" s="43"/>
    </row>
    <row r="48" spans="1:15" s="14" customFormat="1" ht="33" customHeight="1" thickBot="1">
      <c r="A48" s="126" t="s">
        <v>39</v>
      </c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8"/>
    </row>
    <row r="49" spans="1:15" s="14" customFormat="1" ht="16.5">
      <c r="A49" s="44">
        <v>12</v>
      </c>
      <c r="B49" s="46" t="s">
        <v>34</v>
      </c>
      <c r="C49" s="29">
        <v>1</v>
      </c>
      <c r="D49" s="29">
        <v>15</v>
      </c>
      <c r="E49" s="40">
        <v>2.561</v>
      </c>
      <c r="F49" s="108">
        <f>SUM(E49*822000*1.6)</f>
        <v>3368227.2</v>
      </c>
      <c r="G49" s="32">
        <v>0.4</v>
      </c>
      <c r="H49" s="31">
        <f>+F49*0.4</f>
        <v>1347290.8800000001</v>
      </c>
      <c r="I49" s="32"/>
      <c r="J49" s="31"/>
      <c r="K49" s="32">
        <v>0.2</v>
      </c>
      <c r="L49" s="31">
        <f>+F49*0.2</f>
        <v>673645.4400000001</v>
      </c>
      <c r="M49" s="31">
        <f>+(F49+H49)*30%</f>
        <v>1414655.4239999999</v>
      </c>
      <c r="N49" s="31">
        <f>(F49+H49+L49+M49)*C49</f>
        <v>6803818.944</v>
      </c>
      <c r="O49" s="33"/>
    </row>
    <row r="50" spans="1:15" s="14" customFormat="1" ht="16.5">
      <c r="A50" s="45">
        <v>13</v>
      </c>
      <c r="B50" s="41" t="s">
        <v>35</v>
      </c>
      <c r="C50" s="34">
        <v>1</v>
      </c>
      <c r="D50" s="34">
        <v>11</v>
      </c>
      <c r="E50" s="41">
        <v>2.014</v>
      </c>
      <c r="F50" s="108">
        <f>SUM(E50*822000*1.6)</f>
        <v>2648812.8</v>
      </c>
      <c r="G50" s="32">
        <v>0.4</v>
      </c>
      <c r="H50" s="31">
        <f>+F50*0.4</f>
        <v>1059525.1199999999</v>
      </c>
      <c r="I50" s="32"/>
      <c r="J50" s="31"/>
      <c r="K50" s="32">
        <v>0.1</v>
      </c>
      <c r="L50" s="31">
        <f>+F50*0.1</f>
        <v>264881.27999999997</v>
      </c>
      <c r="M50" s="31"/>
      <c r="N50" s="31">
        <f>(F50+H50+L50+M50)*C50</f>
        <v>3973219.1999999997</v>
      </c>
      <c r="O50" s="33"/>
    </row>
    <row r="51" spans="1:15" s="14" customFormat="1" ht="17.25" thickBot="1">
      <c r="A51" s="36"/>
      <c r="B51" s="37" t="s">
        <v>36</v>
      </c>
      <c r="C51" s="38">
        <f>SUM(C49:C50)</f>
        <v>2</v>
      </c>
      <c r="D51" s="37"/>
      <c r="E51" s="37"/>
      <c r="F51" s="111">
        <f>SUM(F49:F50)</f>
        <v>6017040</v>
      </c>
      <c r="G51" s="42"/>
      <c r="H51" s="39">
        <f>SUM(H49:H50)</f>
        <v>2406816</v>
      </c>
      <c r="I51" s="32"/>
      <c r="J51" s="31"/>
      <c r="K51" s="32"/>
      <c r="L51" s="39">
        <f>SUM(L49:L50)</f>
        <v>938526.72</v>
      </c>
      <c r="M51" s="39">
        <f>SUM(M49:M50)</f>
        <v>1414655.4239999999</v>
      </c>
      <c r="N51" s="39">
        <f>SUM(N49:N50)</f>
        <v>10777038.144</v>
      </c>
      <c r="O51" s="43"/>
    </row>
    <row r="52" spans="1:15" s="14" customFormat="1" ht="24" customHeight="1" thickBot="1">
      <c r="A52" s="123" t="s">
        <v>40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5"/>
    </row>
    <row r="53" spans="1:15" s="14" customFormat="1" ht="16.5">
      <c r="A53" s="44">
        <v>14</v>
      </c>
      <c r="B53" s="46" t="s">
        <v>34</v>
      </c>
      <c r="C53" s="29">
        <v>1</v>
      </c>
      <c r="D53" s="29">
        <v>15</v>
      </c>
      <c r="E53" s="40">
        <v>2.561</v>
      </c>
      <c r="F53" s="108">
        <f>SUM(E53*822000*1.6)</f>
        <v>3368227.2</v>
      </c>
      <c r="G53" s="32">
        <v>0.4</v>
      </c>
      <c r="H53" s="31">
        <f>+F53*0.4</f>
        <v>1347290.8800000001</v>
      </c>
      <c r="I53" s="32"/>
      <c r="J53" s="31"/>
      <c r="K53" s="32">
        <v>0.1</v>
      </c>
      <c r="L53" s="31">
        <f>+F53*0.1</f>
        <v>336822.72000000003</v>
      </c>
      <c r="M53" s="31"/>
      <c r="N53" s="31">
        <f>(F53+H53+L53+M53)*C53</f>
        <v>5052340.8</v>
      </c>
      <c r="O53" s="33"/>
    </row>
    <row r="54" spans="1:15" s="14" customFormat="1" ht="16.5">
      <c r="A54" s="45">
        <v>15</v>
      </c>
      <c r="B54" s="41" t="s">
        <v>35</v>
      </c>
      <c r="C54" s="34">
        <v>1</v>
      </c>
      <c r="D54" s="34">
        <v>11</v>
      </c>
      <c r="E54" s="41">
        <v>2.014</v>
      </c>
      <c r="F54" s="108">
        <f>SUM(E54*822000*1.6)</f>
        <v>2648812.8</v>
      </c>
      <c r="G54" s="32">
        <v>0.4</v>
      </c>
      <c r="H54" s="31">
        <f>+F54*0.4</f>
        <v>1059525.1199999999</v>
      </c>
      <c r="I54" s="32"/>
      <c r="J54" s="31"/>
      <c r="K54" s="32">
        <v>0.1</v>
      </c>
      <c r="L54" s="31">
        <f>+F54*0.2</f>
        <v>529762.5599999999</v>
      </c>
      <c r="M54" s="31"/>
      <c r="N54" s="31">
        <f>(F54+H54+L54+M54)*C54</f>
        <v>4238100.4799999995</v>
      </c>
      <c r="O54" s="33"/>
    </row>
    <row r="55" spans="1:15" s="14" customFormat="1" ht="17.25" thickBot="1">
      <c r="A55" s="36"/>
      <c r="B55" s="37"/>
      <c r="C55" s="38">
        <f>SUM(C53:C54)</f>
        <v>2</v>
      </c>
      <c r="D55" s="38"/>
      <c r="E55" s="37"/>
      <c r="F55" s="111">
        <f>SUM(F53:F54)</f>
        <v>6017040</v>
      </c>
      <c r="G55" s="42"/>
      <c r="H55" s="39">
        <f>SUM(H53:H54)</f>
        <v>2406816</v>
      </c>
      <c r="I55" s="32"/>
      <c r="J55" s="31"/>
      <c r="K55" s="32"/>
      <c r="L55" s="39">
        <f>SUM(L53:L54)</f>
        <v>866585.28</v>
      </c>
      <c r="M55" s="39"/>
      <c r="N55" s="39">
        <f>SUM(N53:N54)</f>
        <v>9290441.28</v>
      </c>
      <c r="O55" s="43"/>
    </row>
    <row r="56" spans="1:15" ht="22.5" customHeight="1" thickBot="1">
      <c r="A56" s="120" t="s">
        <v>41</v>
      </c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2"/>
    </row>
    <row r="57" spans="1:15" ht="16.5">
      <c r="A57" s="44">
        <v>16</v>
      </c>
      <c r="B57" s="46" t="s">
        <v>34</v>
      </c>
      <c r="C57" s="29">
        <v>1</v>
      </c>
      <c r="D57" s="29">
        <v>15</v>
      </c>
      <c r="E57" s="40">
        <v>2.561</v>
      </c>
      <c r="F57" s="108">
        <f>SUM(E57*822000*1.6)</f>
        <v>3368227.2</v>
      </c>
      <c r="G57" s="32">
        <v>0.4</v>
      </c>
      <c r="H57" s="31">
        <f>+F57*0.4</f>
        <v>1347290.8800000001</v>
      </c>
      <c r="I57" s="32"/>
      <c r="J57" s="31"/>
      <c r="K57" s="32">
        <v>0.6</v>
      </c>
      <c r="L57" s="31">
        <f>+F57*0.6</f>
        <v>2020936.32</v>
      </c>
      <c r="M57" s="31"/>
      <c r="N57" s="31">
        <f>(F57+H57+L57+M57)*C57</f>
        <v>6736454.4</v>
      </c>
      <c r="O57" s="33"/>
    </row>
    <row r="58" spans="1:15" s="14" customFormat="1" ht="16.5">
      <c r="A58" s="45">
        <v>17</v>
      </c>
      <c r="B58" s="41" t="s">
        <v>35</v>
      </c>
      <c r="C58" s="34">
        <v>1</v>
      </c>
      <c r="D58" s="34">
        <v>11</v>
      </c>
      <c r="E58" s="41">
        <v>2.014</v>
      </c>
      <c r="F58" s="108">
        <f>SUM(E58*822000*1.6)</f>
        <v>2648812.8</v>
      </c>
      <c r="G58" s="32">
        <v>0.4</v>
      </c>
      <c r="H58" s="31">
        <f>+F58*0.4</f>
        <v>1059525.1199999999</v>
      </c>
      <c r="I58" s="32"/>
      <c r="J58" s="31"/>
      <c r="K58" s="32">
        <v>0.3</v>
      </c>
      <c r="L58" s="31">
        <f>+F58*0.3</f>
        <v>794643.84</v>
      </c>
      <c r="M58" s="31"/>
      <c r="N58" s="31">
        <f>(F58+H58+L58+M58)*C58</f>
        <v>4502981.76</v>
      </c>
      <c r="O58" s="33"/>
    </row>
    <row r="59" spans="1:15" s="14" customFormat="1" ht="17.25" thickBot="1">
      <c r="A59" s="82"/>
      <c r="B59" s="37"/>
      <c r="C59" s="38">
        <f>SUM(C57:C58)</f>
        <v>2</v>
      </c>
      <c r="D59" s="38"/>
      <c r="E59" s="38"/>
      <c r="F59" s="111">
        <f>SUM(F57:F58)</f>
        <v>6017040</v>
      </c>
      <c r="G59" s="42"/>
      <c r="H59" s="39">
        <f>SUM(H57:H58)</f>
        <v>2406816</v>
      </c>
      <c r="I59" s="83"/>
      <c r="J59" s="84"/>
      <c r="K59" s="83"/>
      <c r="L59" s="39">
        <f>SUM(L57:L58)</f>
        <v>2815580.16</v>
      </c>
      <c r="M59" s="39"/>
      <c r="N59" s="39">
        <f>SUM(N57:N58)</f>
        <v>11239436.16</v>
      </c>
      <c r="O59" s="43"/>
    </row>
    <row r="60" spans="1:15" s="14" customFormat="1" ht="33" customHeight="1" thickBot="1">
      <c r="A60" s="123" t="s">
        <v>42</v>
      </c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5"/>
    </row>
    <row r="61" spans="1:15" s="14" customFormat="1" ht="33">
      <c r="A61" s="85">
        <v>18</v>
      </c>
      <c r="B61" s="86" t="s">
        <v>43</v>
      </c>
      <c r="C61" s="87">
        <v>1</v>
      </c>
      <c r="D61" s="87">
        <v>15</v>
      </c>
      <c r="E61" s="88">
        <v>2.561</v>
      </c>
      <c r="F61" s="108">
        <f>SUM(E61*822000*1.6)</f>
        <v>3368227.2</v>
      </c>
      <c r="G61" s="90">
        <v>0.4</v>
      </c>
      <c r="H61" s="89">
        <f>+F61*0.4</f>
        <v>1347290.8800000001</v>
      </c>
      <c r="I61" s="90"/>
      <c r="J61" s="89"/>
      <c r="K61" s="90">
        <v>0.3</v>
      </c>
      <c r="L61" s="89">
        <f>+F61*0.3</f>
        <v>1010468.16</v>
      </c>
      <c r="M61" s="89"/>
      <c r="N61" s="89">
        <f>(F61+H61+L61+M61)*C61</f>
        <v>5725986.24</v>
      </c>
      <c r="O61" s="91"/>
    </row>
    <row r="62" spans="1:15" s="14" customFormat="1" ht="17.25" thickBot="1">
      <c r="A62" s="66"/>
      <c r="B62" s="67"/>
      <c r="C62" s="68">
        <f>SUM(C61:C61)</f>
        <v>1</v>
      </c>
      <c r="D62" s="68"/>
      <c r="E62" s="67"/>
      <c r="F62" s="109">
        <f>SUM(F61)</f>
        <v>3368227.2</v>
      </c>
      <c r="G62" s="72"/>
      <c r="H62" s="70">
        <f>SUM(H61)</f>
        <v>1347290.8800000001</v>
      </c>
      <c r="I62" s="92"/>
      <c r="J62" s="93"/>
      <c r="K62" s="92"/>
      <c r="L62" s="70">
        <f>SUM(L61)</f>
        <v>1010468.16</v>
      </c>
      <c r="M62" s="70"/>
      <c r="N62" s="70">
        <f>SUM(N61)</f>
        <v>5725986.24</v>
      </c>
      <c r="O62" s="94"/>
    </row>
    <row r="63" spans="1:15" s="14" customFormat="1" ht="35.25" customHeight="1" thickBot="1">
      <c r="A63" s="123" t="s">
        <v>77</v>
      </c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5"/>
    </row>
    <row r="64" spans="1:15" s="14" customFormat="1" ht="16.5">
      <c r="A64" s="44">
        <v>19</v>
      </c>
      <c r="B64" s="46" t="s">
        <v>78</v>
      </c>
      <c r="C64" s="29">
        <v>1</v>
      </c>
      <c r="D64" s="29">
        <v>14</v>
      </c>
      <c r="E64" s="40">
        <v>2.421</v>
      </c>
      <c r="F64" s="108">
        <f>SUM(E64*822000*1.6)</f>
        <v>3184099.1999999997</v>
      </c>
      <c r="G64" s="32">
        <v>0.4</v>
      </c>
      <c r="H64" s="31">
        <f>+F64*0.4</f>
        <v>1273639.68</v>
      </c>
      <c r="I64" s="32">
        <v>0.15</v>
      </c>
      <c r="J64" s="31">
        <f>(+F64+H64)*0.15</f>
        <v>668660.8319999999</v>
      </c>
      <c r="K64" s="32">
        <v>0.1</v>
      </c>
      <c r="L64" s="31">
        <f>+F64*0.1</f>
        <v>318409.92</v>
      </c>
      <c r="M64" s="31"/>
      <c r="N64" s="31">
        <f>(F64+H64+L64+J64+M64)*C64</f>
        <v>5444809.631999999</v>
      </c>
      <c r="O64" s="33"/>
    </row>
    <row r="65" spans="1:15" s="14" customFormat="1" ht="17.25" thickBot="1">
      <c r="A65" s="66"/>
      <c r="B65" s="67"/>
      <c r="C65" s="68">
        <f>SUM(C64:C64)</f>
        <v>1</v>
      </c>
      <c r="D65" s="68"/>
      <c r="E65" s="67"/>
      <c r="F65" s="109">
        <f>SUM(F64)</f>
        <v>3184099.1999999997</v>
      </c>
      <c r="G65" s="72"/>
      <c r="H65" s="70">
        <f>SUM(H64)</f>
        <v>1273639.68</v>
      </c>
      <c r="I65" s="73"/>
      <c r="J65" s="70">
        <f>SUM(J64)</f>
        <v>668660.8319999999</v>
      </c>
      <c r="K65" s="73"/>
      <c r="L65" s="70">
        <f>SUM(L64)</f>
        <v>318409.92</v>
      </c>
      <c r="M65" s="70"/>
      <c r="N65" s="70">
        <f>SUM(N64)</f>
        <v>5444809.631999999</v>
      </c>
      <c r="O65" s="74"/>
    </row>
    <row r="66" spans="1:15" s="14" customFormat="1" ht="32.25" customHeight="1" thickBot="1">
      <c r="A66" s="123" t="s">
        <v>44</v>
      </c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5"/>
    </row>
    <row r="67" spans="1:15" s="14" customFormat="1" ht="37.5" customHeight="1">
      <c r="A67" s="44">
        <v>20</v>
      </c>
      <c r="B67" s="46" t="s">
        <v>34</v>
      </c>
      <c r="C67" s="29">
        <v>1</v>
      </c>
      <c r="D67" s="29">
        <v>15</v>
      </c>
      <c r="E67" s="40">
        <v>2.561</v>
      </c>
      <c r="F67" s="108">
        <f>SUM(E67*822000*1.6)</f>
        <v>3368227.2</v>
      </c>
      <c r="G67" s="32">
        <v>0.4</v>
      </c>
      <c r="H67" s="31">
        <f>+F67*0.4</f>
        <v>1347290.8800000001</v>
      </c>
      <c r="I67" s="32"/>
      <c r="J67" s="31"/>
      <c r="K67" s="32">
        <v>0.4</v>
      </c>
      <c r="L67" s="31">
        <f>+F67*0.4</f>
        <v>1347290.8800000001</v>
      </c>
      <c r="M67" s="31">
        <f>+(F67+H67)*30%</f>
        <v>1414655.4239999999</v>
      </c>
      <c r="N67" s="31">
        <f>(F67+H67+L67+M67)*C67</f>
        <v>7477464.384</v>
      </c>
      <c r="O67" s="33"/>
    </row>
    <row r="68" spans="1:15" s="14" customFormat="1" ht="17.25" thickBot="1">
      <c r="A68" s="36"/>
      <c r="B68" s="37"/>
      <c r="C68" s="38">
        <f>SUM(C67:C67)</f>
        <v>1</v>
      </c>
      <c r="D68" s="38"/>
      <c r="E68" s="37"/>
      <c r="F68" s="111">
        <f>SUM(F67)</f>
        <v>3368227.2</v>
      </c>
      <c r="G68" s="42"/>
      <c r="H68" s="39">
        <f>SUM(H67)</f>
        <v>1347290.8800000001</v>
      </c>
      <c r="I68" s="71"/>
      <c r="J68" s="56"/>
      <c r="K68" s="71"/>
      <c r="L68" s="39">
        <f>SUM(L67)</f>
        <v>1347290.8800000001</v>
      </c>
      <c r="M68" s="39">
        <f>SUM(M67)</f>
        <v>1414655.4239999999</v>
      </c>
      <c r="N68" s="39">
        <f>SUM(N67)</f>
        <v>7477464.384</v>
      </c>
      <c r="O68" s="43"/>
    </row>
    <row r="69" spans="1:15" ht="17.25" thickBot="1">
      <c r="A69" s="126" t="s">
        <v>45</v>
      </c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8"/>
    </row>
    <row r="70" spans="1:15" ht="49.5">
      <c r="A70" s="44">
        <v>21</v>
      </c>
      <c r="B70" s="46" t="s">
        <v>46</v>
      </c>
      <c r="C70" s="29">
        <v>1</v>
      </c>
      <c r="D70" s="29">
        <v>7</v>
      </c>
      <c r="E70" s="40">
        <v>1.505</v>
      </c>
      <c r="F70" s="108">
        <f>SUM(E70*822000*1.6)</f>
        <v>1979376</v>
      </c>
      <c r="G70" s="32"/>
      <c r="H70" s="31"/>
      <c r="I70" s="32"/>
      <c r="J70" s="31"/>
      <c r="K70" s="32">
        <v>0.1</v>
      </c>
      <c r="L70" s="31">
        <f>+F70*0.1</f>
        <v>197937.6</v>
      </c>
      <c r="M70" s="31"/>
      <c r="N70" s="31">
        <f aca="true" t="shared" si="0" ref="N70:N77">(F70+H70+L70+M70)*C70</f>
        <v>2177313.6</v>
      </c>
      <c r="O70" s="33"/>
    </row>
    <row r="71" spans="1:15" ht="49.5">
      <c r="A71" s="44">
        <v>22</v>
      </c>
      <c r="B71" s="46" t="s">
        <v>46</v>
      </c>
      <c r="C71" s="29">
        <v>1</v>
      </c>
      <c r="D71" s="29">
        <v>7</v>
      </c>
      <c r="E71" s="40">
        <v>1.505</v>
      </c>
      <c r="F71" s="108">
        <f>SUM(E71*822000*1.6)</f>
        <v>1979376</v>
      </c>
      <c r="G71" s="32"/>
      <c r="H71" s="31"/>
      <c r="I71" s="32"/>
      <c r="J71" s="31"/>
      <c r="K71" s="32">
        <v>0.1</v>
      </c>
      <c r="L71" s="31">
        <f>+F71*0.1</f>
        <v>197937.6</v>
      </c>
      <c r="M71" s="31"/>
      <c r="N71" s="31">
        <f t="shared" si="0"/>
        <v>2177313.6</v>
      </c>
      <c r="O71" s="33"/>
    </row>
    <row r="72" spans="1:15" ht="16.5">
      <c r="A72" s="44">
        <v>23</v>
      </c>
      <c r="B72" s="46" t="s">
        <v>47</v>
      </c>
      <c r="C72" s="34">
        <v>1</v>
      </c>
      <c r="D72" s="34">
        <v>5</v>
      </c>
      <c r="E72" s="54">
        <v>1.269</v>
      </c>
      <c r="F72" s="108">
        <f>SUM(E72*822000*1.6)</f>
        <v>1668988.7999999998</v>
      </c>
      <c r="G72" s="51"/>
      <c r="H72" s="52"/>
      <c r="I72" s="51"/>
      <c r="J72" s="52"/>
      <c r="K72" s="32">
        <v>0.1</v>
      </c>
      <c r="L72" s="31">
        <f>+F72*0.1</f>
        <v>166898.88</v>
      </c>
      <c r="M72" s="52"/>
      <c r="N72" s="31">
        <f t="shared" si="0"/>
        <v>1835887.6799999997</v>
      </c>
      <c r="O72" s="52"/>
    </row>
    <row r="73" spans="1:15" ht="16.5">
      <c r="A73" s="44">
        <v>24</v>
      </c>
      <c r="B73" s="46" t="s">
        <v>47</v>
      </c>
      <c r="C73" s="34">
        <v>1</v>
      </c>
      <c r="D73" s="34">
        <v>5</v>
      </c>
      <c r="E73" s="54">
        <v>1.269</v>
      </c>
      <c r="F73" s="108">
        <f>SUM(E73*822000*1.6)</f>
        <v>1668988.7999999998</v>
      </c>
      <c r="G73" s="51"/>
      <c r="H73" s="52"/>
      <c r="I73" s="51"/>
      <c r="J73" s="52"/>
      <c r="K73" s="32"/>
      <c r="L73" s="31"/>
      <c r="M73" s="52"/>
      <c r="N73" s="31">
        <f>(F73+H73+L73+M73)*C73</f>
        <v>1668988.7999999998</v>
      </c>
      <c r="O73" s="52"/>
    </row>
    <row r="74" spans="1:15" ht="49.5">
      <c r="A74" s="44">
        <v>25</v>
      </c>
      <c r="B74" s="46" t="s">
        <v>67</v>
      </c>
      <c r="C74" s="29">
        <v>1</v>
      </c>
      <c r="D74" s="29">
        <v>1</v>
      </c>
      <c r="E74" s="40">
        <v>1</v>
      </c>
      <c r="F74" s="108">
        <f>SUM(E74*822000*1.828)</f>
        <v>1502616</v>
      </c>
      <c r="G74" s="32"/>
      <c r="H74" s="55"/>
      <c r="I74" s="32"/>
      <c r="J74" s="31"/>
      <c r="K74" s="32">
        <v>0.1</v>
      </c>
      <c r="L74" s="31">
        <f>+F74*0.1</f>
        <v>150261.6</v>
      </c>
      <c r="M74" s="31"/>
      <c r="N74" s="31">
        <f t="shared" si="0"/>
        <v>1652877.6</v>
      </c>
      <c r="O74" s="33"/>
    </row>
    <row r="75" spans="1:15" ht="49.5">
      <c r="A75" s="44">
        <v>26</v>
      </c>
      <c r="B75" s="46" t="s">
        <v>68</v>
      </c>
      <c r="C75" s="29">
        <v>1</v>
      </c>
      <c r="D75" s="29">
        <v>1</v>
      </c>
      <c r="E75" s="40">
        <v>1</v>
      </c>
      <c r="F75" s="108">
        <f>SUM(E75*822000*1.828)</f>
        <v>1502616</v>
      </c>
      <c r="G75" s="32"/>
      <c r="H75" s="55"/>
      <c r="I75" s="32"/>
      <c r="J75" s="31"/>
      <c r="K75" s="32">
        <v>0.1</v>
      </c>
      <c r="L75" s="31">
        <f>+F75*0.1</f>
        <v>150261.6</v>
      </c>
      <c r="M75" s="31"/>
      <c r="N75" s="31">
        <f t="shared" si="0"/>
        <v>1652877.6</v>
      </c>
      <c r="O75" s="33"/>
    </row>
    <row r="76" spans="1:15" ht="49.5">
      <c r="A76" s="44">
        <v>27</v>
      </c>
      <c r="B76" s="46" t="s">
        <v>68</v>
      </c>
      <c r="C76" s="29">
        <v>1</v>
      </c>
      <c r="D76" s="29">
        <v>1</v>
      </c>
      <c r="E76" s="40">
        <v>1</v>
      </c>
      <c r="F76" s="108">
        <f>SUM(E76*822000*1.828)</f>
        <v>1502616</v>
      </c>
      <c r="G76" s="32"/>
      <c r="H76" s="55"/>
      <c r="I76" s="32"/>
      <c r="J76" s="31"/>
      <c r="K76" s="32">
        <v>0.1</v>
      </c>
      <c r="L76" s="31">
        <f>+F76*0.1</f>
        <v>150261.6</v>
      </c>
      <c r="M76" s="31"/>
      <c r="N76" s="31">
        <f>(F76+H76+L76+M76)*C76</f>
        <v>1652877.6</v>
      </c>
      <c r="O76" s="33"/>
    </row>
    <row r="77" spans="1:15" ht="49.5">
      <c r="A77" s="44">
        <v>28</v>
      </c>
      <c r="B77" s="46" t="s">
        <v>69</v>
      </c>
      <c r="C77" s="29">
        <v>1</v>
      </c>
      <c r="D77" s="29">
        <v>1</v>
      </c>
      <c r="E77" s="40">
        <v>1</v>
      </c>
      <c r="F77" s="108">
        <f>SUM(E77*822000*1.828)</f>
        <v>1502616</v>
      </c>
      <c r="G77" s="32"/>
      <c r="H77" s="55"/>
      <c r="I77" s="32"/>
      <c r="J77" s="31"/>
      <c r="K77" s="32">
        <v>0.1</v>
      </c>
      <c r="L77" s="31">
        <f>+F77*0.1</f>
        <v>150261.6</v>
      </c>
      <c r="M77" s="31"/>
      <c r="N77" s="31">
        <f t="shared" si="0"/>
        <v>1652877.6</v>
      </c>
      <c r="O77" s="33"/>
    </row>
    <row r="78" spans="1:15" s="14" customFormat="1" ht="17.25" thickBot="1">
      <c r="A78" s="36"/>
      <c r="B78" s="37"/>
      <c r="C78" s="38">
        <f>SUM(C70:C77)</f>
        <v>8</v>
      </c>
      <c r="D78" s="38"/>
      <c r="E78" s="37"/>
      <c r="F78" s="112">
        <f>SUM(F70:F77)</f>
        <v>13307193.6</v>
      </c>
      <c r="G78" s="42"/>
      <c r="H78" s="42"/>
      <c r="I78" s="32"/>
      <c r="J78" s="31"/>
      <c r="K78" s="32"/>
      <c r="L78" s="31"/>
      <c r="M78" s="56"/>
      <c r="N78" s="43">
        <f>SUM(N70:N77)</f>
        <v>14471014.079999998</v>
      </c>
      <c r="O78" s="43"/>
    </row>
    <row r="79" spans="1:15" s="14" customFormat="1" ht="36.75" customHeight="1" thickBot="1">
      <c r="A79" s="57"/>
      <c r="B79" s="77" t="s">
        <v>48</v>
      </c>
      <c r="C79" s="79">
        <f>+C78+C65+C68+C62+C59+C55+C51+C47+C43+C39+C30+C35</f>
        <v>28</v>
      </c>
      <c r="D79" s="78"/>
      <c r="E79" s="75"/>
      <c r="F79" s="113">
        <f>+F78+F65+F68+F62+F59+F55+F51+F47+F43+F39+F30+F35</f>
        <v>77299564.8</v>
      </c>
      <c r="G79" s="75"/>
      <c r="H79" s="80">
        <f>+H78+H65+H68+H62+H59+H55+H51+H47+H43+H39+H30+H35</f>
        <v>25596948.480000004</v>
      </c>
      <c r="I79" s="75"/>
      <c r="J79" s="80">
        <f>+J78+J65+J68+J62+J59+J55+J51+J47+J43+J39+J30+J35</f>
        <v>668660.8319999999</v>
      </c>
      <c r="K79" s="75"/>
      <c r="L79" s="80">
        <f>+L78+L65+L68+L62+L59+L55+L51+L47+L43+L39+L30+L35</f>
        <v>16234171.2</v>
      </c>
      <c r="M79" s="80">
        <f>+M78+M65+M68+M62+M59+M55+M51+M47+M43+M39+M30+M35</f>
        <v>5689555.2</v>
      </c>
      <c r="N79" s="80">
        <f>+N78+N65+N68+N62+N59+N55+N51+N47+N43+N39+N30+N35</f>
        <v>126652720.99199998</v>
      </c>
      <c r="O79" s="75"/>
    </row>
    <row r="80" spans="1:15" ht="16.5">
      <c r="A80" s="58"/>
      <c r="B80" s="59"/>
      <c r="C80" s="59"/>
      <c r="D80" s="59"/>
      <c r="E80" s="59"/>
      <c r="F80" s="114"/>
      <c r="G80" s="59"/>
      <c r="H80" s="59"/>
      <c r="I80" s="59"/>
      <c r="J80" s="59"/>
      <c r="K80" s="59"/>
      <c r="L80" s="59"/>
      <c r="M80" s="59"/>
      <c r="N80" s="59"/>
      <c r="O80" s="60"/>
    </row>
    <row r="81" spans="1:15" ht="54.75" customHeight="1">
      <c r="A81" s="58"/>
      <c r="B81" s="118" t="s">
        <v>49</v>
      </c>
      <c r="C81" s="118"/>
      <c r="D81" s="58" t="s">
        <v>50</v>
      </c>
      <c r="E81" s="58" t="s">
        <v>50</v>
      </c>
      <c r="F81" s="115" t="s">
        <v>50</v>
      </c>
      <c r="G81" s="58" t="s">
        <v>50</v>
      </c>
      <c r="H81" s="58" t="s">
        <v>50</v>
      </c>
      <c r="I81" s="58"/>
      <c r="J81" s="58"/>
      <c r="K81" s="58"/>
      <c r="L81" s="58"/>
      <c r="M81" s="81"/>
      <c r="N81" s="81">
        <f>+N79</f>
        <v>126652720.99199998</v>
      </c>
      <c r="O81" s="60"/>
    </row>
    <row r="82" spans="1:15" ht="9.75" customHeight="1">
      <c r="A82" s="58"/>
      <c r="B82" s="62"/>
      <c r="C82" s="62"/>
      <c r="D82" s="59"/>
      <c r="E82" s="59"/>
      <c r="F82" s="114"/>
      <c r="G82" s="59"/>
      <c r="H82" s="59"/>
      <c r="I82" s="59"/>
      <c r="J82" s="59"/>
      <c r="K82" s="59"/>
      <c r="L82" s="59"/>
      <c r="M82" s="81"/>
      <c r="N82" s="81"/>
      <c r="O82" s="60"/>
    </row>
    <row r="83" spans="1:15" ht="16.5">
      <c r="A83" s="58"/>
      <c r="B83" s="118" t="s">
        <v>51</v>
      </c>
      <c r="C83" s="118"/>
      <c r="D83" s="58" t="s">
        <v>50</v>
      </c>
      <c r="E83" s="58" t="s">
        <v>50</v>
      </c>
      <c r="F83" s="115" t="s">
        <v>50</v>
      </c>
      <c r="G83" s="58" t="s">
        <v>50</v>
      </c>
      <c r="H83" s="58" t="s">
        <v>50</v>
      </c>
      <c r="I83" s="58"/>
      <c r="J83" s="58"/>
      <c r="K83" s="58"/>
      <c r="L83" s="58"/>
      <c r="M83" s="81"/>
      <c r="N83" s="81">
        <f>N81*12</f>
        <v>1519832651.9039998</v>
      </c>
      <c r="O83" s="60"/>
    </row>
    <row r="84" spans="1:15" ht="12" customHeight="1">
      <c r="A84" s="58"/>
      <c r="B84" s="62"/>
      <c r="C84" s="62"/>
      <c r="D84" s="59"/>
      <c r="E84" s="59"/>
      <c r="F84" s="114"/>
      <c r="G84" s="59"/>
      <c r="H84" s="59"/>
      <c r="I84" s="59"/>
      <c r="J84" s="59"/>
      <c r="K84" s="59"/>
      <c r="L84" s="59"/>
      <c r="M84" s="81"/>
      <c r="N84" s="81"/>
      <c r="O84" s="60"/>
    </row>
    <row r="85" spans="1:15" ht="52.5" customHeight="1">
      <c r="A85" s="58"/>
      <c r="B85" s="118" t="s">
        <v>49</v>
      </c>
      <c r="C85" s="118"/>
      <c r="D85" s="58" t="s">
        <v>50</v>
      </c>
      <c r="E85" s="58" t="s">
        <v>50</v>
      </c>
      <c r="F85" s="115" t="s">
        <v>50</v>
      </c>
      <c r="G85" s="58" t="s">
        <v>50</v>
      </c>
      <c r="H85" s="58" t="s">
        <v>50</v>
      </c>
      <c r="I85" s="58"/>
      <c r="J85" s="58"/>
      <c r="K85" s="58"/>
      <c r="L85" s="58"/>
      <c r="M85" s="95"/>
      <c r="N85" s="81">
        <f>N83*0.98</f>
        <v>1489435998.8659198</v>
      </c>
      <c r="O85" s="60"/>
    </row>
    <row r="86" spans="1:15" ht="9" customHeight="1">
      <c r="A86" s="58"/>
      <c r="B86" s="100"/>
      <c r="C86" s="62"/>
      <c r="D86" s="59"/>
      <c r="E86" s="59"/>
      <c r="F86" s="114"/>
      <c r="G86" s="59"/>
      <c r="H86" s="59"/>
      <c r="I86" s="59"/>
      <c r="J86" s="59"/>
      <c r="K86" s="59"/>
      <c r="L86" s="59"/>
      <c r="M86" s="95"/>
      <c r="N86" s="81"/>
      <c r="O86" s="60"/>
    </row>
    <row r="87" spans="1:15" ht="39.75" customHeight="1">
      <c r="A87" s="58"/>
      <c r="B87" s="118" t="s">
        <v>52</v>
      </c>
      <c r="C87" s="118"/>
      <c r="D87" s="58" t="s">
        <v>50</v>
      </c>
      <c r="E87" s="58" t="s">
        <v>50</v>
      </c>
      <c r="F87" s="115" t="s">
        <v>50</v>
      </c>
      <c r="G87" s="58" t="s">
        <v>50</v>
      </c>
      <c r="H87" s="58" t="s">
        <v>50</v>
      </c>
      <c r="I87" s="58"/>
      <c r="J87" s="58"/>
      <c r="K87" s="58"/>
      <c r="L87" s="58"/>
      <c r="M87" s="95"/>
      <c r="N87" s="81">
        <f>N81*2</f>
        <v>253305441.98399997</v>
      </c>
      <c r="O87" s="60"/>
    </row>
    <row r="88" spans="1:15" ht="12" customHeight="1">
      <c r="A88" s="58"/>
      <c r="B88" s="100"/>
      <c r="C88" s="62"/>
      <c r="D88" s="59"/>
      <c r="E88" s="59"/>
      <c r="F88" s="114"/>
      <c r="G88" s="59"/>
      <c r="H88" s="59"/>
      <c r="I88" s="59"/>
      <c r="J88" s="59"/>
      <c r="K88" s="59"/>
      <c r="L88" s="59"/>
      <c r="M88" s="95"/>
      <c r="N88" s="81"/>
      <c r="O88" s="60"/>
    </row>
    <row r="89" spans="1:15" ht="40.5" customHeight="1">
      <c r="A89" s="58"/>
      <c r="B89" s="118" t="s">
        <v>53</v>
      </c>
      <c r="C89" s="118"/>
      <c r="D89" s="58" t="s">
        <v>50</v>
      </c>
      <c r="E89" s="58" t="s">
        <v>50</v>
      </c>
      <c r="F89" s="115" t="s">
        <v>50</v>
      </c>
      <c r="G89" s="58" t="s">
        <v>50</v>
      </c>
      <c r="H89" s="58" t="s">
        <v>50</v>
      </c>
      <c r="I89" s="58"/>
      <c r="J89" s="58"/>
      <c r="K89" s="58"/>
      <c r="L89" s="58"/>
      <c r="M89" s="95"/>
      <c r="N89" s="81">
        <f>N81</f>
        <v>126652720.99199998</v>
      </c>
      <c r="O89" s="60"/>
    </row>
    <row r="90" spans="1:15" ht="9" customHeight="1">
      <c r="A90" s="58"/>
      <c r="B90" s="100"/>
      <c r="C90" s="62"/>
      <c r="D90" s="59"/>
      <c r="E90" s="59"/>
      <c r="F90" s="114"/>
      <c r="G90" s="59"/>
      <c r="H90" s="59"/>
      <c r="I90" s="59"/>
      <c r="J90" s="59"/>
      <c r="K90" s="59"/>
      <c r="L90" s="59"/>
      <c r="M90" s="95"/>
      <c r="N90" s="81"/>
      <c r="O90" s="60"/>
    </row>
    <row r="91" spans="1:15" ht="36.75" customHeight="1">
      <c r="A91" s="58"/>
      <c r="B91" s="118" t="s">
        <v>54</v>
      </c>
      <c r="C91" s="118"/>
      <c r="D91" s="58" t="s">
        <v>50</v>
      </c>
      <c r="E91" s="58" t="s">
        <v>50</v>
      </c>
      <c r="F91" s="115" t="s">
        <v>50</v>
      </c>
      <c r="G91" s="58" t="s">
        <v>50</v>
      </c>
      <c r="H91" s="58" t="s">
        <v>50</v>
      </c>
      <c r="I91" s="58"/>
      <c r="J91" s="58"/>
      <c r="K91" s="58"/>
      <c r="L91" s="58"/>
      <c r="M91" s="95"/>
      <c r="N91" s="81">
        <f>(N85+N87)*0.15</f>
        <v>261411216.12748796</v>
      </c>
      <c r="O91" s="60"/>
    </row>
    <row r="92" spans="1:15" ht="12" customHeight="1">
      <c r="A92" s="58"/>
      <c r="B92" s="100"/>
      <c r="C92" s="62"/>
      <c r="D92" s="63"/>
      <c r="E92" s="63"/>
      <c r="F92" s="116"/>
      <c r="G92" s="63"/>
      <c r="H92" s="59"/>
      <c r="I92" s="59"/>
      <c r="J92" s="59"/>
      <c r="K92" s="59"/>
      <c r="L92" s="59"/>
      <c r="M92" s="95"/>
      <c r="N92" s="81"/>
      <c r="O92" s="60"/>
    </row>
    <row r="93" spans="1:15" ht="15.75" customHeight="1">
      <c r="A93" s="58"/>
      <c r="B93" s="119" t="s">
        <v>51</v>
      </c>
      <c r="C93" s="119"/>
      <c r="D93" s="58" t="s">
        <v>50</v>
      </c>
      <c r="E93" s="58" t="s">
        <v>50</v>
      </c>
      <c r="F93" s="115" t="s">
        <v>50</v>
      </c>
      <c r="G93" s="58" t="s">
        <v>50</v>
      </c>
      <c r="H93" s="58" t="s">
        <v>50</v>
      </c>
      <c r="I93" s="58"/>
      <c r="J93" s="58"/>
      <c r="K93" s="58"/>
      <c r="L93" s="58"/>
      <c r="M93" s="95"/>
      <c r="N93" s="81">
        <f>N85+N87+N89+N91</f>
        <v>2130805377.9694078</v>
      </c>
      <c r="O93" s="60"/>
    </row>
    <row r="94" spans="1:15" ht="6.75" customHeight="1">
      <c r="A94" s="58"/>
      <c r="B94" s="63"/>
      <c r="C94" s="63"/>
      <c r="D94" s="63"/>
      <c r="E94" s="63"/>
      <c r="F94" s="116"/>
      <c r="G94" s="63"/>
      <c r="H94" s="59"/>
      <c r="I94" s="59"/>
      <c r="J94" s="59"/>
      <c r="K94" s="59"/>
      <c r="L94" s="59"/>
      <c r="M94" s="95"/>
      <c r="N94" s="81"/>
      <c r="O94" s="60"/>
    </row>
    <row r="95" spans="1:15" ht="44.25" customHeight="1">
      <c r="A95" s="58"/>
      <c r="B95" s="118" t="s">
        <v>55</v>
      </c>
      <c r="C95" s="118"/>
      <c r="D95" s="58" t="s">
        <v>50</v>
      </c>
      <c r="E95" s="58" t="s">
        <v>50</v>
      </c>
      <c r="F95" s="115" t="s">
        <v>50</v>
      </c>
      <c r="G95" s="58" t="s">
        <v>50</v>
      </c>
      <c r="H95" s="58" t="s">
        <v>50</v>
      </c>
      <c r="I95" s="58"/>
      <c r="J95" s="58"/>
      <c r="K95" s="58"/>
      <c r="L95" s="58"/>
      <c r="M95" s="95"/>
      <c r="N95" s="81">
        <f>+N93*0.01</f>
        <v>21308053.779694077</v>
      </c>
      <c r="O95" s="60"/>
    </row>
    <row r="96" spans="1:15" ht="12" customHeight="1">
      <c r="A96" s="58"/>
      <c r="B96" s="63"/>
      <c r="C96" s="63"/>
      <c r="D96" s="63"/>
      <c r="E96" s="63"/>
      <c r="F96" s="116"/>
      <c r="G96" s="63"/>
      <c r="H96" s="59"/>
      <c r="I96" s="59"/>
      <c r="J96" s="59"/>
      <c r="K96" s="59"/>
      <c r="L96" s="59"/>
      <c r="M96" s="95"/>
      <c r="N96" s="81"/>
      <c r="O96" s="60"/>
    </row>
    <row r="97" spans="1:15" ht="16.5">
      <c r="A97" s="58"/>
      <c r="B97" s="118"/>
      <c r="C97" s="118"/>
      <c r="D97" s="118"/>
      <c r="E97" s="63"/>
      <c r="F97" s="116"/>
      <c r="G97" s="63"/>
      <c r="H97" s="59"/>
      <c r="I97" s="59"/>
      <c r="J97" s="59"/>
      <c r="K97" s="59"/>
      <c r="L97" s="59"/>
      <c r="M97" s="95"/>
      <c r="N97" s="81"/>
      <c r="O97" s="60"/>
    </row>
    <row r="98" spans="1:15" ht="12" customHeight="1">
      <c r="A98" s="58"/>
      <c r="B98" s="63"/>
      <c r="C98" s="63"/>
      <c r="D98" s="63"/>
      <c r="E98" s="63"/>
      <c r="F98" s="116"/>
      <c r="G98" s="63"/>
      <c r="H98" s="59"/>
      <c r="I98" s="59"/>
      <c r="J98" s="59"/>
      <c r="K98" s="59"/>
      <c r="L98" s="59"/>
      <c r="M98" s="95"/>
      <c r="N98" s="81"/>
      <c r="O98" s="60"/>
    </row>
    <row r="99" spans="1:15" ht="34.5" customHeight="1">
      <c r="A99" s="58"/>
      <c r="B99" s="119" t="s">
        <v>56</v>
      </c>
      <c r="C99" s="119"/>
      <c r="D99" s="58" t="s">
        <v>50</v>
      </c>
      <c r="E99" s="58" t="s">
        <v>50</v>
      </c>
      <c r="F99" s="115" t="s">
        <v>50</v>
      </c>
      <c r="G99" s="58" t="s">
        <v>50</v>
      </c>
      <c r="H99" s="58" t="s">
        <v>50</v>
      </c>
      <c r="I99" s="58"/>
      <c r="J99" s="58"/>
      <c r="K99" s="58"/>
      <c r="L99" s="58"/>
      <c r="M99" s="95"/>
      <c r="N99" s="81">
        <f>N93+N95+N97</f>
        <v>2152113431.7491016</v>
      </c>
      <c r="O99" s="60"/>
    </row>
    <row r="100" spans="1:15" ht="16.5">
      <c r="A100" s="58"/>
      <c r="B100" s="59"/>
      <c r="C100" s="59"/>
      <c r="D100" s="59"/>
      <c r="E100" s="59"/>
      <c r="F100" s="114"/>
      <c r="G100" s="59"/>
      <c r="H100" s="59"/>
      <c r="I100" s="59"/>
      <c r="J100" s="59"/>
      <c r="K100" s="59"/>
      <c r="L100" s="59"/>
      <c r="M100" s="95"/>
      <c r="N100" s="81">
        <f>N99/12</f>
        <v>179342785.9790918</v>
      </c>
      <c r="O100" s="60"/>
    </row>
    <row r="101" spans="1:15" ht="16.5">
      <c r="A101" s="58"/>
      <c r="B101" s="59"/>
      <c r="C101" s="59"/>
      <c r="D101" s="59"/>
      <c r="E101" s="59"/>
      <c r="F101" s="114"/>
      <c r="G101" s="59"/>
      <c r="H101" s="59"/>
      <c r="I101" s="59"/>
      <c r="J101" s="59"/>
      <c r="K101" s="59"/>
      <c r="L101" s="59"/>
      <c r="M101" s="95"/>
      <c r="N101" s="61"/>
      <c r="O101" s="60"/>
    </row>
    <row r="102" spans="1:15" ht="16.5">
      <c r="A102" s="58"/>
      <c r="B102" s="59"/>
      <c r="C102" s="65" t="s">
        <v>57</v>
      </c>
      <c r="D102" s="65"/>
      <c r="E102" s="65"/>
      <c r="F102" s="117"/>
      <c r="G102" s="65" t="s">
        <v>75</v>
      </c>
      <c r="H102" s="65"/>
      <c r="I102" s="65"/>
      <c r="J102" s="65"/>
      <c r="K102" s="65"/>
      <c r="L102" s="65"/>
      <c r="M102" s="65"/>
      <c r="N102" s="64"/>
      <c r="O102" s="60"/>
    </row>
    <row r="103" ht="16.5">
      <c r="N103" s="64"/>
    </row>
    <row r="104" ht="15.75" customHeight="1">
      <c r="N104" s="101"/>
    </row>
  </sheetData>
  <sheetProtection/>
  <mergeCells count="56">
    <mergeCell ref="H1:N1"/>
    <mergeCell ref="F2:N2"/>
    <mergeCell ref="F3:N3"/>
    <mergeCell ref="B5:F5"/>
    <mergeCell ref="B6:F6"/>
    <mergeCell ref="G6:N6"/>
    <mergeCell ref="B7:F7"/>
    <mergeCell ref="J7:N7"/>
    <mergeCell ref="B8:D8"/>
    <mergeCell ref="J8:N8"/>
    <mergeCell ref="B9:C9"/>
    <mergeCell ref="J9:N9"/>
    <mergeCell ref="J10:N10"/>
    <mergeCell ref="B11:C11"/>
    <mergeCell ref="A16:O16"/>
    <mergeCell ref="A17:O17"/>
    <mergeCell ref="A18:O18"/>
    <mergeCell ref="A19:O19"/>
    <mergeCell ref="A20:O20"/>
    <mergeCell ref="A21:O21"/>
    <mergeCell ref="A23:A25"/>
    <mergeCell ref="B23:B25"/>
    <mergeCell ref="C23:C25"/>
    <mergeCell ref="D23:D25"/>
    <mergeCell ref="E23:E25"/>
    <mergeCell ref="F23:F25"/>
    <mergeCell ref="G23:M23"/>
    <mergeCell ref="N23:N25"/>
    <mergeCell ref="O23:O25"/>
    <mergeCell ref="G24:G25"/>
    <mergeCell ref="I24:I25"/>
    <mergeCell ref="K24:K25"/>
    <mergeCell ref="M24:M25"/>
    <mergeCell ref="A26:O26"/>
    <mergeCell ref="A31:O31"/>
    <mergeCell ref="A36:O36"/>
    <mergeCell ref="A40:O40"/>
    <mergeCell ref="A44:O44"/>
    <mergeCell ref="A48:O48"/>
    <mergeCell ref="A52:O52"/>
    <mergeCell ref="A33:O33"/>
    <mergeCell ref="A56:O56"/>
    <mergeCell ref="A60:O60"/>
    <mergeCell ref="A63:O63"/>
    <mergeCell ref="A66:O66"/>
    <mergeCell ref="A69:O69"/>
    <mergeCell ref="B81:C81"/>
    <mergeCell ref="B95:C95"/>
    <mergeCell ref="B97:D97"/>
    <mergeCell ref="B99:C99"/>
    <mergeCell ref="B83:C83"/>
    <mergeCell ref="B85:C85"/>
    <mergeCell ref="B87:C87"/>
    <mergeCell ref="B89:C89"/>
    <mergeCell ref="B91:C91"/>
    <mergeCell ref="B93:C93"/>
  </mergeCells>
  <printOptions/>
  <pageMargins left="0" right="0" top="0.31496062992125984" bottom="0" header="0.31496062992125984" footer="0"/>
  <pageSetup fitToHeight="0" fitToWidth="1" horizontalDpi="600" verticalDpi="600" orientation="portrait" paperSize="9" scale="55" r:id="rId1"/>
  <rowBreaks count="1" manualBreakCount="1">
    <brk id="6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A7</cp:lastModifiedBy>
  <cp:lastPrinted>2021-12-23T10:29:37Z</cp:lastPrinted>
  <dcterms:created xsi:type="dcterms:W3CDTF">2019-01-03T14:31:28Z</dcterms:created>
  <dcterms:modified xsi:type="dcterms:W3CDTF">2022-01-19T13:02:11Z</dcterms:modified>
  <cp:category/>
  <cp:version/>
  <cp:contentType/>
  <cp:contentStatus/>
</cp:coreProperties>
</file>